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8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7.xml" ContentType="application/vnd.openxmlformats-officedocument.spreadsheetml.worksheet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总投资" sheetId="1" r:id="rId3"/>
    <sheet name="固定资产折旧" sheetId="2" r:id="rId4"/>
    <sheet name="营业收入及税金表" sheetId="3" r:id="rId5"/>
    <sheet name="总成本费用表" sheetId="4" r:id="rId6"/>
    <sheet name="利润及利润分配表" sheetId="5" r:id="rId7"/>
    <sheet name="项目投资现金流量表" sheetId="6" r:id="rId8"/>
    <sheet name="还本付息表" sheetId="7" r:id="rId9"/>
    <sheet name="项目财务现金流量表" sheetId="8" r:id="rId10"/>
  </sheets>
  <calcPr calcId="144525"/>
</workbook>
</file>

<file path=xl/sharedStrings.xml><?xml version="1.0" encoding="utf-8"?>
<sst xmlns="http://schemas.openxmlformats.org/spreadsheetml/2006/main" count="234" uniqueCount="234">
  <si>
    <t/>
  </si>
  <si>
    <t>固定资产折旧表</t>
  </si>
  <si>
    <t>单位：万元</t>
  </si>
  <si>
    <t>序号</t>
  </si>
  <si>
    <t>项目</t>
  </si>
  <si>
    <t>合计</t>
  </si>
  <si>
    <t>残值率</t>
  </si>
  <si>
    <t>折旧年限</t>
  </si>
  <si>
    <t>运营期</t>
  </si>
  <si>
    <t>附属物及设备折旧</t>
  </si>
  <si>
    <t>原值</t>
  </si>
  <si>
    <t>当期折旧额</t>
  </si>
  <si>
    <t>净值</t>
  </si>
  <si>
    <t>折旧费</t>
  </si>
  <si>
    <t>无形资产摊销</t>
  </si>
  <si>
    <t>总成本费用表</t>
  </si>
  <si>
    <t>外购燃料及动力费</t>
  </si>
  <si>
    <t>储能电量</t>
  </si>
  <si>
    <t>工资及福利费</t>
  </si>
  <si>
    <t>保洁维护费</t>
  </si>
  <si>
    <t>电网过路费</t>
  </si>
  <si>
    <t>管理费及其他</t>
  </si>
  <si>
    <t>经营成本（1+2+3+4+5+6）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</si>
  <si>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</si>
  <si>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</si>
  <si>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</si>
  <si>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</si>
  <si>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</si>
  <si>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</si>
  <si>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</si>
  <si>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营业收入</t>
  </si>
  <si>
    <t>营业税金及附加</t>
  </si>
  <si>
    <t>增值税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</si>
  <si>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</si>
  <si>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</si>
  <si>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</si>
  <si>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</si>
  <si>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</si>
  <si>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</si>
  <si>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</si>
  <si>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</si>
  <si>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</si>
  <si>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</si>
  <si>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</si>
  <si>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</si>
  <si>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</si>
  <si>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</si>
  <si>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</si>
  <si>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</si>
  <si>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</si>
  <si>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</si>
  <si>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</si>
  <si>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 xml:space="preserve"> 项目财务现金流量表   </t>
  </si>
  <si>
    <t xml:space="preserve">建设期/运营期
</t>
  </si>
  <si>
    <t>经营活动净现金流量</t>
  </si>
  <si>
    <t>现金流入</t>
  </si>
  <si>
    <t>1.1.1</t>
  </si>
  <si>
    <t>1.1.2</t>
  </si>
  <si>
    <t>1.1.3</t>
  </si>
  <si>
    <t>其他流入</t>
  </si>
  <si>
    <t>现金流出</t>
  </si>
  <si>
    <t>1.2.1</t>
  </si>
  <si>
    <t>经营成本</t>
  </si>
  <si>
    <t>1.2.2</t>
  </si>
  <si>
    <t>税金及附加</t>
  </si>
  <si>
    <t>1.2.3</t>
  </si>
  <si>
    <t>1.2.4</t>
  </si>
  <si>
    <t>其他流出</t>
  </si>
  <si>
    <t>投资活动净现金流量</t>
  </si>
  <si>
    <t>2.2.1</t>
  </si>
  <si>
    <t>建设投资</t>
  </si>
  <si>
    <t>2.2.2</t>
  </si>
  <si>
    <t>维持运营投资</t>
  </si>
  <si>
    <t>2.2.3</t>
  </si>
  <si>
    <t>流动资金</t>
  </si>
  <si>
    <t>2.2.4</t>
  </si>
  <si>
    <t>筹资活动净现金流量</t>
  </si>
  <si>
    <t>3.1.1</t>
  </si>
  <si>
    <t>项目资本金投入</t>
  </si>
  <si>
    <t>3.1.2</t>
  </si>
  <si>
    <t>建设投资借款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</si>
  <si>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</si>
  <si>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</si>
  <si>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</si>
  <si>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</si>
  <si>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</si>
  <si>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</si>
  <si>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</si>
  <si>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四</t>
  </si>
  <si>
    <t>净现金流量</t>
  </si>
  <si>
    <t>五</t>
  </si>
  <si>
    <t>累计盈余资金</t>
  </si>
  <si>
    <t>建设投资估算表</t>
  </si>
  <si>
    <t>工程或费用名称</t>
  </si>
  <si>
    <t>建筑工程费</t>
  </si>
  <si>
    <t>安装工程费</t>
  </si>
  <si>
    <t>设备购置费</t>
  </si>
  <si>
    <t>其他费用</t>
  </si>
  <si>
    <t>单位</t>
  </si>
  <si>
    <t>数量</t>
  </si>
  <si>
    <t>综合单价（万元）</t>
  </si>
  <si>
    <t>一</t>
  </si>
  <si>
    <t>工程费用</t>
  </si>
  <si>
    <t>光伏发电工程</t>
  </si>
  <si>
    <t>光伏组件</t>
  </si>
  <si>
    <t>　</t>
  </si>
  <si>
    <t>KW</t>
  </si>
  <si>
    <t>光伏组件A级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</si>
  <si>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</si>
  <si>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</si>
  <si>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</si>
  <si>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</si>
  <si>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</si>
  <si>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</si>
  <si>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</si>
  <si>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</si>
  <si>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千套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</si>
  <si>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</si>
  <si>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</si>
  <si>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</si>
  <si>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</si>
  <si>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</si>
  <si>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</si>
  <si>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</si>
  <si>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m</t>
  </si>
  <si>
    <t>土建基础</t>
  </si>
  <si>
    <t>项</t>
  </si>
  <si>
    <t>组件、电气安装、辅材等</t>
  </si>
  <si>
    <t>电池储能
集装箱</t>
  </si>
  <si>
    <t>KWH</t>
  </si>
  <si>
    <t>电池系统 2000KWH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</si>
  <si>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</si>
  <si>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</si>
  <si>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</si>
  <si>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</si>
  <si>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</si>
  <si>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</si>
  <si>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</si>
  <si>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</si>
  <si>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园区配套工程</t>
  </si>
  <si>
    <t>㎡</t>
  </si>
  <si>
    <t>绿化等相关配套工程</t>
  </si>
  <si>
    <t>10kv储能变电站</t>
  </si>
  <si>
    <t>中心配电室变压器2000KVA</t>
  </si>
  <si>
    <t>光伏充电桩</t>
  </si>
  <si>
    <t>二</t>
  </si>
  <si>
    <t>工程建设其他费用</t>
  </si>
  <si>
    <t>建设管理费</t>
  </si>
  <si>
    <t>建设工程监理费</t>
  </si>
  <si>
    <t>建设项目前期工作咨询费</t>
  </si>
  <si>
    <t>屋顶荷载检测费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</si>
  <si>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</si>
  <si>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</si>
  <si>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</si>
  <si>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</si>
  <si>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</si>
  <si>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</si>
  <si>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</si>
  <si>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</si>
  <si>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</si>
  <si>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t>涨价预备费</t>
  </si>
  <si>
    <t>建设投资合计</t>
  </si>
  <si>
    <t>比例（%）</t>
  </si>
  <si>
    <t>建设期利息</t>
  </si>
  <si>
    <t>六</t>
  </si>
  <si>
    <t>固定资产投资</t>
  </si>
  <si>
    <t>八</t>
  </si>
  <si>
    <t>项目总投资</t>
  </si>
  <si>
    <t>还本付息表</t>
  </si>
  <si>
    <t>计算期</t>
  </si>
  <si>
    <t>0.5建设期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</si>
  <si>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</si>
  <si>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</si>
  <si>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</si>
  <si>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</si>
  <si>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</si>
  <si>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</si>
  <si>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</si>
  <si>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</si>
  <si>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</si>
  <si>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>营业收入及税金表</t>
  </si>
  <si>
    <t>光伏收入</t>
  </si>
  <si>
    <t>装机容量</t>
  </si>
  <si>
    <t>衰减值</t>
  </si>
  <si>
    <t>1KW 光伏装机容量平均日发电量</t>
  </si>
  <si>
    <t>1.1.4</t>
  </si>
  <si>
    <t>年发电天数</t>
  </si>
  <si>
    <t>1.1.5</t>
  </si>
  <si>
    <t>工商业用电平均电价</t>
  </si>
  <si>
    <t>储能收入</t>
  </si>
  <si>
    <t>储能销售电价</t>
  </si>
  <si>
    <t>360天一充一放扣能耗（万kwh/n)</t>
  </si>
  <si>
    <t>60kw充电桩收入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</si>
  <si>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</si>
  <si>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</si>
  <si>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</si>
  <si>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</si>
  <si>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</si>
  <si>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</si>
  <si>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</si>
  <si>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</si>
  <si>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</si>
  <si>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</si>
  <si>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</si>
  <si>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</si>
  <si>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</si>
  <si>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</si>
  <si>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</si>
  <si>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</si>
  <si>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</si>
  <si>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销项税额</t>
  </si>
  <si>
    <t>进项税额</t>
  </si>
  <si>
    <t>项目投资现金流量表</t>
  </si>
  <si>
    <t>留抵退税</t>
  </si>
  <si>
    <t>回收固定资产余值</t>
  </si>
  <si>
    <t>回收流动资金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</si>
  <si>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</si>
  <si>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</si>
  <si>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</si>
  <si>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</si>
  <si>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</si>
  <si>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</si>
  <si>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</si>
  <si>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</si>
  <si>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</si>
  <si>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</si>
  <si>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t>项目投资回收期（年）（所得税前）</t>
  </si>
  <si>
    <t>项目投资回收期（年）（所得税后）</t>
  </si>
  <si>
    <r>
      <rPr>
        <rFont val="宋体"/>
        <charset val="134"/>
        <sz val="7"/>
      </rPr>
      <t>（一</t>
    </r>
    <r>
      <rPr>
        <rFont val="Times New Roman"/>
        <charset val="134"/>
        <sz val="7"/>
      </rPr>
      <t>+</t>
    </r>
    <r>
      <rPr>
        <rFont val="宋体"/>
        <charset val="134"/>
        <sz val="7"/>
      </rPr>
      <t>二）</t>
    </r>
    <r>
      <rPr>
        <rFont val="Times New Roman"/>
        <charset val="134"/>
        <sz val="7"/>
      </rPr>
      <t>*5%</t>
    </r>
  </si>
  <si>
    <r>
      <rPr>
        <rFont val="宋体"/>
        <charset val="134"/>
        <b val="true"/>
        <color rgb="FF000000"/>
        <sz val="8"/>
      </rPr>
      <t>项</t>
    </r>
    <r>
      <rPr>
        <rFont val="宋体"/>
        <charset val="134"/>
        <b val="true"/>
        <color rgb="FF000000"/>
        <sz val="8"/>
      </rPr>
      <t>目</t>
    </r>
  </si>
  <si>
    <r>
      <rPr>
        <rFont val="宋体"/>
        <charset val="134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）（所得税前）</t>
    </r>
  </si>
  <si>
    <r>
      <rPr>
        <rFont val="宋体"/>
        <charset val="134"/>
        <color rgb="FF000000"/>
        <sz val="8"/>
      </rPr>
      <t>项目投资财务内部收益率（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）（所得税后）</t>
    </r>
  </si>
  <si>
    <r>
      <rPr>
        <rFont val="宋体"/>
        <charset val="134"/>
        <sz val="8"/>
      </rPr>
      <t>项目投资财务净现值（所得税前）（</t>
    </r>
    <r>
      <rPr>
        <rFont val="Times New Roman"/>
        <charset val="134"/>
        <color rgb="FF000000"/>
        <sz val="8"/>
      </rPr>
      <t>ic=</t>
    </r>
    <r>
      <rPr>
        <rFont val="Arial"/>
        <charset val="134"/>
        <color rgb="FF000000"/>
        <sz val="8"/>
      </rPr>
      <t>4.2</t>
    </r>
    <r>
      <rPr>
        <rFont val="Times New Roman"/>
        <charset val="134"/>
        <color rgb="FF000000"/>
        <sz val="8"/>
      </rPr>
      <t>%</t>
    </r>
    <r>
      <rPr>
        <rFont val="宋体"/>
        <charset val="134"/>
        <color rgb="FF000000"/>
        <sz val="8"/>
      </rPr>
      <t>）</t>
    </r>
  </si>
  <si>
    <r>
      <rPr>
        <rFont val="宋体"/>
        <charset val="134"/>
        <color rgb="FF000000"/>
        <sz val="8"/>
      </rPr>
      <t>项目投资财务净现值（所得税后）（</t>
    </r>
    <r>
      <rPr>
        <rFont val="Times New Roman"/>
        <charset val="134"/>
        <color rgb="FF000000"/>
        <sz val="8"/>
      </rPr>
      <t>ic=</t>
    </r>
    <r>
      <rPr>
        <rFont val="Times New Roman"/>
        <charset val="134"/>
        <color rgb="FF000000"/>
        <sz val="8"/>
      </rPr>
      <t>4.2%</t>
    </r>
    <r>
      <rPr>
        <rFont val="宋体"/>
        <charset val="134"/>
        <color rgb="FF000000"/>
        <sz val="8"/>
      </rPr>
      <t>）</t>
    </r>
  </si>
</sst>
</file>

<file path=xl/styles.xml><?xml version="1.0" encoding="utf-8"?>
<styleSheet xmlns="http://schemas.openxmlformats.org/spreadsheetml/2006/main">
  <numFmts count="12">
    <numFmt numFmtId="300" formatCode="0.0_ "/>
    <numFmt numFmtId="301" formatCode="0_ "/>
    <numFmt numFmtId="302" formatCode="0.00_ "/>
    <numFmt numFmtId="303" formatCode="0.000_ "/>
    <numFmt numFmtId="304" formatCode="0.0000_ "/>
    <numFmt numFmtId="305" formatCode="General"/>
    <numFmt numFmtId="306" formatCode="0.00%"/>
    <numFmt numFmtId="307" formatCode="0%"/>
    <numFmt numFmtId="308" formatCode="_ * #,##0_ ;_ * \-#,##0_ ;_ * &quot;-&quot;_ ;_ @_ "/>
    <numFmt numFmtId="309" formatCode="_ &quot;￥&quot;* #,##0_ ;_ &quot;￥&quot;* \-#,##0_ ;_ &quot;￥&quot;* &quot;-&quot;_ ;_ @_ "/>
    <numFmt numFmtId="310" formatCode="_ * #,##0.00_ ;_ * \-#,##0.00_ ;_ * &quot;-&quot;??_ ;_ @_ "/>
    <numFmt numFmtId="311" formatCode="_ &quot;￥&quot;* #,##0.00_ ;_ &quot;￥&quot;* \-#,##0.00_ ;_ &quot;￥&quot;* &quot;-&quot;??_ ;_ @_ "/>
  </numFmts>
  <fonts count="60">
    <font>
      <name val="宋体"/>
      <charset val="134"/>
      <sz val="11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charset val="134"/>
      <b val="true"/>
      <color rgb="FF000000"/>
      <sz val="14"/>
    </font>
    <font>
      <name val="宋体"/>
      <charset val="134"/>
      <color rgb="FF000000"/>
      <sz val="11"/>
    </font>
    <font>
      <name val="宋体"/>
      <charset val="134"/>
      <color rgb="FFFF0000"/>
      <sz val="11"/>
    </font>
    <font>
      <name val="宋体"/>
      <charset val="134"/>
      <color rgb="FF000000"/>
      <sz val="8"/>
    </font>
    <font>
      <name val="宋体"/>
      <charset val="134"/>
      <sz val="8"/>
    </font>
    <font>
      <name val="Times New Roman"/>
      <charset val="134"/>
      <color rgb="FF000000"/>
      <sz val="8"/>
    </font>
    <font>
      <name val="Times New Roman"/>
      <charset val="134"/>
      <sz val="8"/>
    </font>
    <font>
      <name val="宋体"/>
      <charset val="134"/>
      <b val="true"/>
      <sz val="11"/>
    </font>
    <font>
      <name val="宋体"/>
      <charset val="134"/>
      <b val="true"/>
      <color rgb="FF000000"/>
      <sz val="8"/>
    </font>
    <font>
      <name val="Times New Roman"/>
      <charset val="134"/>
      <b val="true"/>
      <color rgb="FF000000"/>
      <sz val="8"/>
    </font>
    <font>
      <name val="宋体"/>
      <charset val="134"/>
      <color rgb="FF000000"/>
      <sz val="9"/>
    </font>
    <font>
      <name val="宋体"/>
      <charset val="134"/>
      <b val="true"/>
      <sz val="14"/>
    </font>
    <font>
      <name val="宋体"/>
      <charset val="134"/>
      <color rgb="FF000000"/>
      <sz val="10"/>
    </font>
    <font>
      <name val="宋体"/>
      <charset val="134"/>
      <color rgb="FF000000"/>
      <sz val="7"/>
    </font>
    <font>
      <name val="宋体"/>
      <charset val="134"/>
      <b val="true"/>
      <color rgb="FF000000"/>
      <sz val="7"/>
    </font>
    <font>
      <name val="黑体"/>
      <charset val="134"/>
      <b val="true"/>
      <sz val="16"/>
    </font>
    <font>
      <name val="黑体"/>
      <charset val="134"/>
      <b val="true"/>
      <color rgb="FFFF0000"/>
      <sz val="16"/>
    </font>
    <font>
      <name val="宋体"/>
      <charset val="134"/>
      <sz val="9"/>
    </font>
    <font>
      <name val="宋体"/>
      <charset val="134"/>
      <color rgb="FFFF0000"/>
      <sz val="9"/>
    </font>
    <font>
      <name val="宋体"/>
      <charset val="134"/>
      <b val="true"/>
      <sz val="8"/>
    </font>
    <font>
      <name val="宋体"/>
      <charset val="134"/>
      <b val="true"/>
      <color rgb="FFFF0000"/>
      <sz val="11"/>
    </font>
    <font>
      <name val="Times New Roman"/>
      <charset val="134"/>
      <b val="true"/>
      <sz val="8"/>
    </font>
    <font>
      <name val="Times New Roman"/>
      <charset val="134"/>
      <b val="true"/>
      <sz val="7"/>
    </font>
    <font>
      <name val="宋体"/>
      <charset val="134"/>
      <b val="true"/>
      <sz val="8"/>
      <scheme val="minor"/>
    </font>
    <font>
      <name val="宋体"/>
      <charset val="134"/>
      <sz val="8"/>
      <scheme val="minor"/>
    </font>
    <font>
      <name val="宋体"/>
      <charset val="134"/>
      <b val="true"/>
      <color rgb="FFFF0000"/>
      <sz val="8"/>
    </font>
    <font>
      <name val="宋体"/>
      <charset val="134"/>
      <sz val="7"/>
    </font>
    <font>
      <name val="Times New Roman"/>
      <charset val="134"/>
      <sz val="7"/>
    </font>
    <font>
      <name val="宋体"/>
      <charset val="134"/>
      <color rgb="FFFF0000"/>
      <sz val="8"/>
    </font>
    <font>
      <name val="Times New Roman"/>
      <charset val="134"/>
      <color rgb="FFFF0000"/>
      <sz val="8"/>
    </font>
    <font>
      <name val="宋体"/>
      <charset val="134"/>
      <b val="true"/>
      <color rgb="FFFF0000"/>
      <sz val="14"/>
    </font>
    <font>
      <name val="宋体"/>
      <charset val="134"/>
      <b val="true"/>
      <color rgb="FF000000"/>
      <sz val="9"/>
    </font>
    <font>
      <name val="Arial"/>
      <charset val="134"/>
      <b val="true"/>
      <color rgb="FF000000"/>
      <sz val="8"/>
    </font>
    <font>
      <name val="Arial"/>
      <charset val="134"/>
      <b val="true"/>
      <sz val="8"/>
    </font>
    <font>
      <name val="宋体"/>
      <charset val="134"/>
      <color rgb="FF000000"/>
      <sz val="8"/>
      <scheme val="minor"/>
    </font>
    <font>
      <name val="Arial"/>
      <charset val="134"/>
      <color rgb="FF000000"/>
      <sz val="8"/>
    </font>
    <font>
      <name val="宋体"/>
      <charset val="134"/>
      <sz val="11"/>
    </font>
    <font>
      <name val="宋体"/>
      <charset val="0"/>
      <color rgb="FFFF00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0"/>
      <color rgb="FF0000FF"/>
      <sz val="11"/>
      <u/>
      <scheme val="minor"/>
    </font>
    <font>
      <name val="宋体"/>
      <charset val="134"/>
      <b val="true"/>
      <color theme="3"/>
      <sz val="18"/>
      <scheme val="minor"/>
    </font>
    <font>
      <name val="宋体"/>
      <charset val="134"/>
      <color theme="1"/>
      <sz val="11"/>
      <scheme val="minor"/>
    </font>
    <font>
      <name val="宋体"/>
      <charset val="0"/>
      <color rgb="FF9C0006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3"/>
      <scheme val="minor"/>
    </font>
    <font>
      <name val="宋体"/>
      <charset val="134"/>
      <b val="true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color rgb="FF800080"/>
      <sz val="11"/>
      <u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none"/>
    </fill>
    <fill>
      <patternFill patternType="solid">
        <fgColor theme="8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799982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>
    <xf numFmtId="305" fontId="39" fillId="3" borderId="9" xfId="0">
      <alignment vertical="center"/>
    </xf>
    <xf numFmtId="305" fontId="40" fillId="3" borderId="9" xfId="0" applyNumberFormat="false" applyFill="false" applyBorder="false" applyAlignment="false" applyProtection="false">
      <alignment vertical="center"/>
    </xf>
    <xf numFmtId="305" fontId="41" fillId="4" borderId="9" xfId="0" applyNumberFormat="false" applyBorder="false" applyAlignment="false" applyProtection="false">
      <alignment vertical="center"/>
    </xf>
    <xf numFmtId="305" fontId="42" fillId="5" borderId="9" xfId="0" applyNumberFormat="false" applyBorder="false" applyAlignment="false" applyProtection="false">
      <alignment vertical="center"/>
    </xf>
    <xf numFmtId="305" fontId="41" fillId="6" borderId="9" xfId="0" applyNumberFormat="false" applyBorder="false" applyAlignment="false" applyProtection="false">
      <alignment vertical="center"/>
    </xf>
    <xf numFmtId="305" fontId="43" fillId="3" borderId="9" xfId="0" applyNumberFormat="false" applyFill="false" applyBorder="false" applyAlignment="false" applyProtection="false">
      <alignment vertical="center"/>
    </xf>
    <xf numFmtId="305" fontId="41" fillId="7" borderId="9" xfId="0" applyNumberFormat="false" applyBorder="false" applyAlignment="false" applyProtection="false">
      <alignment vertical="center"/>
    </xf>
    <xf numFmtId="305" fontId="44" fillId="3" borderId="9" xfId="0" applyNumberFormat="false" applyFill="false" applyBorder="false" applyAlignment="false" applyProtection="false">
      <alignment vertical="center"/>
    </xf>
    <xf numFmtId="305" fontId="41" fillId="8" borderId="9" xfId="0" applyNumberFormat="false" applyBorder="false" applyAlignment="false" applyProtection="false">
      <alignment vertical="center"/>
    </xf>
    <xf numFmtId="305" fontId="42" fillId="9" borderId="9" xfId="0" applyNumberFormat="false" applyBorder="false" applyAlignment="false" applyProtection="false">
      <alignment vertical="center"/>
    </xf>
    <xf numFmtId="305" fontId="42" fillId="10" borderId="9" xfId="0" applyNumberFormat="false" applyBorder="false" applyAlignment="false" applyProtection="false">
      <alignment vertical="center"/>
    </xf>
    <xf numFmtId="305" fontId="42" fillId="11" borderId="9" xfId="0" applyNumberFormat="false" applyBorder="false" applyAlignment="false" applyProtection="false">
      <alignment vertical="center"/>
    </xf>
    <xf numFmtId="308" fontId="45" fillId="3" borderId="9" xfId="0" applyFont="false" applyFill="false" applyBorder="false" applyAlignment="false" applyProtection="false">
      <alignment vertical="center"/>
    </xf>
    <xf numFmtId="305" fontId="42" fillId="12" borderId="9" xfId="0" applyNumberFormat="false" applyBorder="false" applyAlignment="false" applyProtection="false">
      <alignment vertical="center"/>
    </xf>
    <xf numFmtId="305" fontId="42" fillId="13" borderId="9" xfId="0" applyNumberFormat="false" applyBorder="false" applyAlignment="false" applyProtection="false">
      <alignment vertical="center"/>
    </xf>
    <xf numFmtId="305" fontId="45" fillId="14" borderId="10" xfId="0" applyNumberFormat="false" applyFont="false" applyAlignment="false" applyProtection="false">
      <alignment vertical="center"/>
    </xf>
    <xf numFmtId="305" fontId="42" fillId="15" borderId="9" xfId="0" applyNumberFormat="false" applyBorder="false" applyAlignment="false" applyProtection="false">
      <alignment vertical="center"/>
    </xf>
    <xf numFmtId="309" fontId="45" fillId="3" borderId="9" xfId="0" applyFont="false" applyFill="false" applyBorder="false" applyAlignment="false" applyProtection="false">
      <alignment vertical="center"/>
    </xf>
    <xf numFmtId="305" fontId="41" fillId="16" borderId="9" xfId="0" applyNumberFormat="false" applyBorder="false" applyAlignment="false" applyProtection="false">
      <alignment vertical="center"/>
    </xf>
    <xf numFmtId="305" fontId="46" fillId="17" borderId="9" xfId="0" applyNumberFormat="false" applyBorder="false" applyAlignment="false" applyProtection="false">
      <alignment vertical="center"/>
    </xf>
    <xf numFmtId="305" fontId="47" fillId="3" borderId="11" xfId="0" applyNumberFormat="false" applyFill="false" applyAlignment="false" applyProtection="false">
      <alignment vertical="center"/>
    </xf>
    <xf numFmtId="305" fontId="48" fillId="3" borderId="9" xfId="0" applyNumberFormat="false" applyFill="false" applyBorder="false" applyAlignment="false" applyProtection="false">
      <alignment vertical="center"/>
    </xf>
    <xf numFmtId="305" fontId="41" fillId="18" borderId="9" xfId="0" applyNumberFormat="false" applyBorder="false" applyAlignment="false" applyProtection="false">
      <alignment vertical="center"/>
    </xf>
    <xf numFmtId="305" fontId="49" fillId="3" borderId="11" xfId="0" applyNumberFormat="false" applyFill="false" applyAlignment="false" applyProtection="false">
      <alignment vertical="center"/>
    </xf>
    <xf numFmtId="305" fontId="42" fillId="19" borderId="9" xfId="0" applyNumberFormat="false" applyBorder="false" applyAlignment="false" applyProtection="false">
      <alignment vertical="center"/>
    </xf>
    <xf numFmtId="305" fontId="50" fillId="3" borderId="9" xfId="0" applyNumberFormat="false" applyFill="false" applyBorder="false" applyAlignment="false" applyProtection="false">
      <alignment vertical="center"/>
    </xf>
    <xf numFmtId="310" fontId="45" fillId="3" borderId="9" xfId="0" applyFont="false" applyFill="false" applyBorder="false" applyAlignment="false" applyProtection="false">
      <alignment vertical="center"/>
    </xf>
    <xf numFmtId="305" fontId="41" fillId="20" borderId="9" xfId="0" applyNumberFormat="false" applyBorder="false" applyAlignment="false" applyProtection="false">
      <alignment vertical="center"/>
    </xf>
    <xf numFmtId="305" fontId="51" fillId="21" borderId="12" xfId="0" applyNumberFormat="false" applyAlignment="false" applyProtection="false">
      <alignment vertical="center"/>
    </xf>
    <xf numFmtId="305" fontId="41" fillId="22" borderId="9" xfId="0" applyNumberFormat="false" applyBorder="false" applyAlignment="false" applyProtection="false">
      <alignment vertical="center"/>
    </xf>
    <xf numFmtId="305" fontId="41" fillId="23" borderId="9" xfId="0" applyNumberFormat="false" applyBorder="false" applyAlignment="false" applyProtection="false">
      <alignment vertical="center"/>
    </xf>
    <xf numFmtId="305" fontId="50" fillId="3" borderId="13" xfId="0" applyNumberFormat="false" applyFill="false" applyAlignment="false" applyProtection="false">
      <alignment vertical="center"/>
    </xf>
    <xf numFmtId="305" fontId="52" fillId="24" borderId="14" xfId="0" applyNumberFormat="false" applyAlignment="false" applyProtection="false">
      <alignment vertical="center"/>
    </xf>
    <xf numFmtId="305" fontId="53" fillId="24" borderId="12" xfId="0" applyNumberFormat="false" applyAlignment="false" applyProtection="false">
      <alignment vertical="center"/>
    </xf>
    <xf numFmtId="305" fontId="54" fillId="25" borderId="15" xfId="0" applyNumberFormat="false" applyAlignment="false" applyProtection="false">
      <alignment vertical="center"/>
    </xf>
    <xf numFmtId="305" fontId="42" fillId="26" borderId="9" xfId="0" applyNumberFormat="false" applyBorder="false" applyAlignment="false" applyProtection="false">
      <alignment vertical="center"/>
    </xf>
    <xf numFmtId="305" fontId="41" fillId="27" borderId="9" xfId="0" applyNumberFormat="false" applyBorder="false" applyAlignment="false" applyProtection="false">
      <alignment vertical="center"/>
    </xf>
    <xf numFmtId="305" fontId="41" fillId="28" borderId="9" xfId="0" applyNumberFormat="false" applyBorder="false" applyAlignment="false" applyProtection="false">
      <alignment vertical="center"/>
    </xf>
    <xf numFmtId="305" fontId="42" fillId="29" borderId="9" xfId="0" applyNumberFormat="false" applyBorder="false" applyAlignment="false" applyProtection="false">
      <alignment vertical="center"/>
    </xf>
    <xf numFmtId="305" fontId="55" fillId="30" borderId="9" xfId="0" applyNumberFormat="false" applyBorder="false" applyAlignment="false" applyProtection="false">
      <alignment vertical="center"/>
    </xf>
    <xf numFmtId="305" fontId="56" fillId="31" borderId="9" xfId="0" applyNumberFormat="false" applyBorder="false" applyAlignment="false" applyProtection="false">
      <alignment vertical="center"/>
    </xf>
    <xf numFmtId="305" fontId="57" fillId="3" borderId="16" xfId="0" applyNumberFormat="false" applyFill="false" applyAlignment="false" applyProtection="false">
      <alignment vertical="center"/>
    </xf>
    <xf numFmtId="305" fontId="58" fillId="3" borderId="17" xfId="0" applyNumberFormat="false" applyFill="false" applyAlignment="false" applyProtection="false">
      <alignment vertical="center"/>
    </xf>
    <xf numFmtId="305" fontId="41" fillId="32" borderId="9" xfId="0" applyNumberFormat="false" applyBorder="false" applyAlignment="false" applyProtection="false">
      <alignment vertical="center"/>
    </xf>
    <xf numFmtId="311" fontId="45" fillId="3" borderId="9" xfId="0" applyFont="false" applyFill="false" applyBorder="false" applyAlignment="false" applyProtection="false">
      <alignment vertical="center"/>
    </xf>
    <xf numFmtId="305" fontId="42" fillId="33" borderId="9" xfId="0" applyNumberFormat="false" applyBorder="false" applyAlignment="false" applyProtection="false">
      <alignment vertical="center"/>
    </xf>
    <xf numFmtId="307" fontId="45" fillId="3" borderId="9" xfId="0" applyFont="false" applyFill="false" applyBorder="false" applyAlignment="false" applyProtection="false">
      <alignment vertical="center"/>
    </xf>
    <xf numFmtId="305" fontId="59" fillId="3" borderId="9" xfId="0" applyNumberFormat="false" applyFill="false" applyBorder="false" applyAlignment="false" applyProtection="false">
      <alignment vertical="center"/>
    </xf>
    <xf numFmtId="305" fontId="42" fillId="34" borderId="9" xfId="0" applyNumberFormat="false" applyBorder="false" applyAlignment="false" applyProtection="false">
      <alignment vertical="center"/>
    </xf>
  </cellStyleXfs>
  <cellXfs count="156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5" fontId="3" fillId="3" borderId="9" xfId="0" applyFont="true" applyAlignment="true">
      <alignment horizontal="center" vertical="center"/>
    </xf>
    <xf numFmtId="305" fontId="4" fillId="3" borderId="9" xfId="0" applyFont="true" applyAlignment="true">
      <alignment horizontal="center" vertical="center"/>
    </xf>
    <xf numFmtId="305" fontId="5" fillId="3" borderId="9" xfId="0" applyFont="true" applyAlignment="true">
      <alignment horizontal="center" vertical="center"/>
    </xf>
    <xf numFmtId="305" fontId="39" fillId="3" borderId="9" xfId="0">
      <alignment vertical="center"/>
    </xf>
    <xf numFmtId="305" fontId="6" fillId="3" borderId="1" xfId="0" applyFont="true" applyBorder="true" applyAlignment="true">
      <alignment horizontal="center" vertical="center" wrapText="true"/>
    </xf>
    <xf numFmtId="305" fontId="7" fillId="3" borderId="2" xfId="0" applyFont="true" applyBorder="true" applyAlignment="true">
      <alignment horizontal="center" vertical="center"/>
    </xf>
    <xf numFmtId="305" fontId="6" fillId="3" borderId="3" xfId="0" applyFont="true" applyBorder="true" applyAlignment="true">
      <alignment horizontal="center" vertical="center" wrapText="true"/>
    </xf>
    <xf numFmtId="300" fontId="8" fillId="3" borderId="2" xfId="0" applyNumberFormat="true" applyFont="true" applyBorder="true" applyAlignment="true">
      <alignment horizontal="center" vertical="top" wrapText="true"/>
    </xf>
    <xf numFmtId="301" fontId="7" fillId="3" borderId="2" xfId="0" applyNumberFormat="true" applyFont="true" applyBorder="true" applyAlignment="true">
      <alignment horizontal="center" vertical="top" wrapText="true"/>
    </xf>
    <xf numFmtId="305" fontId="6" fillId="3" borderId="2" xfId="0" applyFont="true" applyBorder="true" applyAlignment="true">
      <alignment horizontal="left" vertical="top" wrapText="true"/>
    </xf>
    <xf numFmtId="302" fontId="8" fillId="3" borderId="2" xfId="0" applyNumberFormat="true" applyFont="true" applyBorder="true" applyAlignment="true">
      <alignment horizontal="left" vertical="top" wrapText="true"/>
    </xf>
    <xf numFmtId="302" fontId="8" fillId="3" borderId="2" xfId="0" applyNumberFormat="true" applyFont="true" applyBorder="true" applyAlignment="true">
      <alignment horizontal="center" vertical="top" wrapText="true"/>
    </xf>
    <xf numFmtId="301" fontId="8" fillId="3" borderId="2" xfId="0" applyNumberFormat="true" applyFont="true" applyBorder="true" applyAlignment="true">
      <alignment horizontal="center" vertical="top" wrapText="true"/>
    </xf>
    <xf numFmtId="302" fontId="7" fillId="3" borderId="2" xfId="0" applyNumberFormat="true" applyFont="true" applyBorder="true" applyAlignment="true">
      <alignment horizontal="left" vertical="top" wrapText="true"/>
    </xf>
    <xf numFmtId="302" fontId="9" fillId="3" borderId="2" xfId="0" applyNumberFormat="true" applyFont="true" applyBorder="true" applyAlignment="true">
      <alignment horizontal="left" vertical="top" wrapText="true"/>
    </xf>
    <xf numFmtId="305" fontId="10" fillId="3" borderId="9" xfId="0" applyFont="true" applyAlignment="true">
      <alignment horizontal="center" vertical="center"/>
    </xf>
    <xf numFmtId="305" fontId="11" fillId="3" borderId="1" xfId="0" applyFont="true" applyBorder="true" applyAlignment="true">
      <alignment horizontal="center" vertical="center" wrapText="true"/>
    </xf>
    <xf numFmtId="305" fontId="11" fillId="3" borderId="2" xfId="0" applyFont="true" applyBorder="true" applyAlignment="true">
      <alignment horizontal="center" vertical="top" wrapText="true"/>
    </xf>
    <xf numFmtId="305" fontId="11" fillId="3" borderId="3" xfId="0" applyFont="true" applyBorder="true" applyAlignment="true">
      <alignment horizontal="center" vertical="center" wrapText="true"/>
    </xf>
    <xf numFmtId="305" fontId="11" fillId="3" borderId="2" xfId="0" applyFont="true" applyBorder="true" applyAlignment="true">
      <alignment horizontal="center" vertical="center" wrapText="true"/>
    </xf>
    <xf numFmtId="305" fontId="12" fillId="3" borderId="2" xfId="0" applyFont="true" applyBorder="true" applyAlignment="true">
      <alignment horizontal="center" vertical="top" wrapText="true"/>
    </xf>
    <xf numFmtId="305" fontId="9" fillId="3" borderId="2" xfId="0" applyFont="true" applyBorder="true" applyAlignment="true">
      <alignment horizontal="center" vertical="top" wrapText="true"/>
    </xf>
    <xf numFmtId="305" fontId="7" fillId="3" borderId="2" xfId="0" applyFont="true" applyBorder="true" applyAlignment="true">
      <alignment horizontal="center" vertical="top" wrapText="true"/>
    </xf>
    <xf numFmtId="302" fontId="9" fillId="3" borderId="2" xfId="0" applyNumberFormat="true" applyFont="true" applyBorder="true" applyAlignment="true">
      <alignment horizontal="center" vertical="top" wrapText="true"/>
    </xf>
    <xf numFmtId="305" fontId="6" fillId="3" borderId="2" xfId="0" applyFont="true" applyBorder="true" applyAlignment="true">
      <alignment horizontal="center" vertical="top" wrapText="true"/>
    </xf>
    <xf numFmtId="302" fontId="8" fillId="3" borderId="2" xfId="0" applyNumberFormat="true" applyFont="true" applyBorder="true" applyAlignment="true">
      <alignment horizontal="center" vertical="center" wrapText="true"/>
    </xf>
    <xf numFmtId="305" fontId="8" fillId="3" borderId="2" xfId="0" applyFont="true" applyBorder="true" applyAlignment="true">
      <alignment horizontal="center" vertical="top" wrapText="true"/>
    </xf>
    <xf numFmtId="305" fontId="13" fillId="3" borderId="2" xfId="0" applyFont="true" applyBorder="true" applyAlignment="true">
      <alignment horizontal="left" vertical="top" wrapText="true"/>
    </xf>
    <xf numFmtId="305" fontId="13" fillId="3" borderId="2" xfId="0" applyFont="true" applyBorder="true" applyAlignment="true">
      <alignment horizontal="center" vertical="top" wrapText="true"/>
    </xf>
    <xf numFmtId="305" fontId="8" fillId="3" borderId="2" xfId="0" applyFont="true" applyBorder="true" applyAlignment="true">
      <alignment horizontal="left" vertical="top" wrapText="true"/>
    </xf>
    <xf numFmtId="302" fontId="8" fillId="3" borderId="3" xfId="0" applyNumberFormat="true" applyFont="true" applyBorder="true" applyAlignment="true">
      <alignment horizontal="center" vertical="top" wrapText="true"/>
    </xf>
    <xf numFmtId="305" fontId="14" fillId="3" borderId="9" xfId="0" applyFont="true" applyAlignment="true">
      <alignment horizontal="center" vertical="center"/>
    </xf>
    <xf numFmtId="305" fontId="6" fillId="3" borderId="2" xfId="0" applyFont="true" applyBorder="true" applyAlignment="true">
      <alignment horizontal="center" vertical="center" wrapText="true"/>
    </xf>
    <xf numFmtId="305" fontId="6" fillId="3" borderId="4" xfId="0" applyFont="true" applyBorder="true" applyAlignment="true">
      <alignment horizontal="center" vertical="center" wrapText="true"/>
    </xf>
    <xf numFmtId="305" fontId="15" fillId="3" borderId="2" xfId="0" applyFont="true" applyBorder="true" applyAlignment="true">
      <alignment horizontal="center" vertical="center" wrapText="true"/>
    </xf>
    <xf numFmtId="305" fontId="15" fillId="3" borderId="9" xfId="0" applyFont="true" applyAlignment="true">
      <alignment vertical="center" wrapText="true"/>
    </xf>
    <xf numFmtId="305" fontId="16" fillId="3" borderId="2" xfId="0" applyFont="true" applyBorder="true" applyAlignment="true">
      <alignment horizontal="center" vertical="center" wrapText="true"/>
    </xf>
    <xf numFmtId="305" fontId="16" fillId="3" borderId="9" xfId="0" applyFont="true" applyAlignment="true">
      <alignment horizontal="center" vertical="center" wrapText="true"/>
    </xf>
    <xf numFmtId="305" fontId="16" fillId="3" borderId="4" xfId="0" applyFont="true" applyBorder="true" applyAlignment="true">
      <alignment horizontal="left" vertical="center" wrapText="true"/>
    </xf>
    <xf numFmtId="302" fontId="16" fillId="3" borderId="2" xfId="0" applyNumberFormat="true" applyFont="true" applyBorder="true" applyAlignment="true">
      <alignment horizontal="center" vertical="center" wrapText="true"/>
    </xf>
    <xf numFmtId="302" fontId="16" fillId="3" borderId="9" xfId="0" applyNumberFormat="true" applyFont="true" applyAlignment="true">
      <alignment horizontal="center" vertical="center" wrapText="true"/>
    </xf>
    <xf numFmtId="305" fontId="17" fillId="3" borderId="9" xfId="0" applyFont="true" applyAlignment="true">
      <alignment horizontal="center" vertical="center" wrapText="true"/>
    </xf>
    <xf numFmtId="305" fontId="18" fillId="3" borderId="9" xfId="0" applyFont="true" applyAlignment="true">
      <alignment horizontal="center" vertical="top" wrapText="true"/>
    </xf>
    <xf numFmtId="305" fontId="19" fillId="3" borderId="9" xfId="0" applyFont="true" applyAlignment="true">
      <alignment horizontal="center" vertical="top" wrapText="true"/>
    </xf>
    <xf numFmtId="302" fontId="18" fillId="3" borderId="9" xfId="0" applyNumberFormat="true" applyFont="true" applyAlignment="true">
      <alignment horizontal="center" vertical="top" wrapText="true"/>
    </xf>
    <xf numFmtId="305" fontId="20" fillId="3" borderId="9" xfId="0" applyFont="true" applyAlignment="true">
      <alignment horizontal="right" vertical="top" wrapText="true"/>
    </xf>
    <xf numFmtId="305" fontId="21" fillId="3" borderId="9" xfId="0" applyFont="true" applyAlignment="true">
      <alignment horizontal="right" vertical="top" wrapText="true"/>
    </xf>
    <xf numFmtId="302" fontId="20" fillId="3" borderId="9" xfId="0" applyNumberFormat="true" applyFont="true" applyAlignment="true">
      <alignment horizontal="right" vertical="top" wrapText="true"/>
    </xf>
    <xf numFmtId="305" fontId="22" fillId="3" borderId="2" xfId="0" applyFont="true" applyBorder="true" applyAlignment="true">
      <alignment horizontal="center" vertical="center" wrapText="true"/>
    </xf>
    <xf numFmtId="302" fontId="22" fillId="3" borderId="2" xfId="0" applyNumberFormat="true" applyFont="true" applyBorder="true" applyAlignment="true">
      <alignment horizontal="center" vertical="center" wrapText="true"/>
    </xf>
    <xf numFmtId="305" fontId="23" fillId="3" borderId="9" xfId="0" applyFont="true" applyAlignment="true">
      <alignment horizontal="center" vertical="center"/>
    </xf>
    <xf numFmtId="305" fontId="22" fillId="3" borderId="2" xfId="0" applyFont="true" applyBorder="true" applyAlignment="true">
      <alignment horizontal="center" vertical="top" wrapText="true"/>
    </xf>
    <xf numFmtId="302" fontId="24" fillId="3" borderId="2" xfId="0" applyNumberFormat="true" applyFont="true" applyBorder="true" applyAlignment="true">
      <alignment horizontal="center" vertical="top" wrapText="true"/>
    </xf>
    <xf numFmtId="10" fontId="25" fillId="3" borderId="4" xfId="0" applyNumberFormat="true" applyFont="true" applyBorder="true" applyAlignment="true">
      <alignment horizontal="center" vertical="top" wrapText="true"/>
    </xf>
    <xf numFmtId="10" fontId="25" fillId="3" borderId="5" xfId="0" applyNumberFormat="true" applyFont="true" applyBorder="true" applyAlignment="true">
      <alignment horizontal="center" vertical="top" wrapText="true"/>
    </xf>
    <xf numFmtId="302" fontId="25" fillId="3" borderId="6" xfId="0" applyNumberFormat="true" applyFont="true" applyBorder="true" applyAlignment="true">
      <alignment horizontal="center" vertical="top" wrapText="true"/>
    </xf>
    <xf numFmtId="305" fontId="5" fillId="3" borderId="9" xfId="0" applyFont="true">
      <alignment vertical="center"/>
    </xf>
    <xf numFmtId="305" fontId="23" fillId="3" borderId="9" xfId="0" applyFont="true">
      <alignment vertical="center"/>
    </xf>
    <xf numFmtId="305" fontId="26" fillId="3" borderId="2" xfId="0" applyFont="true" applyBorder="true" applyAlignment="true">
      <alignment horizontal="center" vertical="top" wrapText="true"/>
    </xf>
    <xf numFmtId="302" fontId="26" fillId="3" borderId="2" xfId="0" applyNumberFormat="true" applyFont="true" applyBorder="true" applyAlignment="true">
      <alignment horizontal="center" vertical="top" wrapText="true"/>
    </xf>
    <xf numFmtId="305" fontId="11" fillId="3" borderId="2" xfId="0" applyFont="true" applyBorder="true" applyAlignment="true">
      <alignment horizontal="center" vertical="center"/>
    </xf>
    <xf numFmtId="305" fontId="11" fillId="2" borderId="2" xfId="0" applyFont="true" applyFill="true" applyBorder="true" applyAlignment="true">
      <alignment horizontal="center" vertical="center"/>
    </xf>
    <xf numFmtId="303" fontId="11" fillId="2" borderId="2" xfId="0" applyNumberFormat="true" applyFont="true" applyFill="true" applyBorder="true" applyAlignment="true">
      <alignment horizontal="center" vertical="center"/>
    </xf>
    <xf numFmtId="305" fontId="27" fillId="3" borderId="2" xfId="0" applyFont="true" applyBorder="true" applyAlignment="true">
      <alignment horizontal="center" vertical="top" wrapText="true"/>
    </xf>
    <xf numFmtId="302" fontId="27" fillId="3" borderId="2" xfId="0" applyNumberFormat="true" applyFont="true" applyBorder="true" applyAlignment="true">
      <alignment horizontal="center" vertical="top" wrapText="true"/>
    </xf>
    <xf numFmtId="302" fontId="6" fillId="3" borderId="2" xfId="0" applyNumberFormat="true" applyFont="true" applyBorder="true" applyAlignment="true">
      <alignment horizontal="center" vertical="center"/>
    </xf>
    <xf numFmtId="302" fontId="6" fillId="2" borderId="2" xfId="0" applyNumberFormat="true" applyFont="true" applyFill="true" applyBorder="true" applyAlignment="true">
      <alignment horizontal="center" vertical="center"/>
    </xf>
    <xf numFmtId="302" fontId="10" fillId="3" borderId="9" xfId="0" applyNumberFormat="true" applyFont="true">
      <alignment vertical="center"/>
    </xf>
    <xf numFmtId="304" fontId="11" fillId="2" borderId="2" xfId="0" applyNumberFormat="true" applyFont="true" applyFill="true" applyBorder="true" applyAlignment="true">
      <alignment horizontal="center" vertical="center"/>
    </xf>
    <xf numFmtId="305" fontId="6" fillId="3" borderId="2" xfId="0" applyFont="true" applyBorder="true" applyAlignment="true">
      <alignment horizontal="center" vertical="center"/>
    </xf>
    <xf numFmtId="305" fontId="6" fillId="2" borderId="2" xfId="0" applyFont="true" applyFill="true" applyBorder="true" applyAlignment="true">
      <alignment horizontal="center" vertical="center"/>
    </xf>
    <xf numFmtId="303" fontId="22" fillId="3" borderId="9" xfId="0" applyNumberFormat="true" applyFont="true">
      <alignment vertical="center"/>
    </xf>
    <xf numFmtId="303" fontId="28" fillId="3" borderId="9" xfId="0" applyNumberFormat="true" applyFont="true">
      <alignment vertical="center"/>
    </xf>
    <xf numFmtId="302" fontId="29" fillId="3" borderId="4" xfId="0" applyNumberFormat="true" applyFont="true" applyBorder="true" applyAlignment="true">
      <alignment horizontal="center" vertical="top" wrapText="true"/>
    </xf>
    <xf numFmtId="302" fontId="30" fillId="3" borderId="5" xfId="0" applyNumberFormat="true" applyFont="true" applyBorder="true" applyAlignment="true">
      <alignment horizontal="center" vertical="top" wrapText="true"/>
    </xf>
    <xf numFmtId="302" fontId="30" fillId="3" borderId="6" xfId="0" applyNumberFormat="true" applyFont="true" applyBorder="true" applyAlignment="true">
      <alignment horizontal="center" vertical="top" wrapText="true"/>
    </xf>
    <xf numFmtId="303" fontId="7" fillId="3" borderId="9" xfId="0" applyNumberFormat="true" applyFont="true">
      <alignment vertical="center"/>
    </xf>
    <xf numFmtId="303" fontId="31" fillId="3" borderId="9" xfId="0" applyNumberFormat="true" applyFont="true">
      <alignment vertical="center"/>
    </xf>
    <xf numFmtId="302" fontId="29" fillId="3" borderId="4" xfId="0" applyNumberFormat="true" applyFont="true" applyBorder="true" applyAlignment="true">
      <alignment horizontal="center" vertical="center" wrapText="true"/>
    </xf>
    <xf numFmtId="302" fontId="29" fillId="3" borderId="5" xfId="0" applyNumberFormat="true" applyFont="true" applyBorder="true" applyAlignment="true">
      <alignment horizontal="center" vertical="center" wrapText="true"/>
    </xf>
    <xf numFmtId="302" fontId="29" fillId="3" borderId="6" xfId="0" applyNumberFormat="true" applyFont="true" applyBorder="true" applyAlignment="true">
      <alignment horizontal="left" vertical="center" wrapText="true"/>
    </xf>
    <xf numFmtId="302" fontId="29" fillId="3" borderId="6" xfId="0" applyNumberFormat="true" applyFont="true" applyBorder="true" applyAlignment="true">
      <alignment horizontal="center" vertical="center" wrapText="true"/>
    </xf>
    <xf numFmtId="302" fontId="29" fillId="3" borderId="5" xfId="0" applyNumberFormat="true" applyFont="true" applyBorder="true" applyAlignment="true">
      <alignment horizontal="center" vertical="top" wrapText="true"/>
    </xf>
    <xf numFmtId="302" fontId="29" fillId="3" borderId="6" xfId="0" applyNumberFormat="true" applyFont="true" applyBorder="true" applyAlignment="true">
      <alignment horizontal="left" vertical="top" wrapText="true"/>
    </xf>
    <xf numFmtId="302" fontId="29" fillId="3" borderId="6" xfId="0" applyNumberFormat="true" applyFont="true" applyBorder="true" applyAlignment="true">
      <alignment horizontal="center" vertical="top" wrapText="true"/>
    </xf>
    <xf numFmtId="9" fontId="9" fillId="3" borderId="2" xfId="0" applyNumberFormat="true" applyFont="true" applyBorder="true" applyAlignment="true">
      <alignment horizontal="center" vertical="top" wrapText="true"/>
    </xf>
    <xf numFmtId="302" fontId="30" fillId="3" borderId="4" xfId="0" applyNumberFormat="true" applyFont="true" applyBorder="true" applyAlignment="true">
      <alignment horizontal="center" vertical="top" wrapText="true"/>
    </xf>
    <xf numFmtId="305" fontId="39" fillId="3" borderId="9" xfId="0" applyAlignment="true">
      <alignment horizontal="center" vertical="center"/>
    </xf>
    <xf numFmtId="302" fontId="32" fillId="3" borderId="9" xfId="0" applyNumberFormat="true" applyFont="true" applyAlignment="true">
      <alignment horizontal="center" vertical="top" wrapText="true"/>
    </xf>
    <xf numFmtId="302" fontId="39" fillId="3" borderId="9" xfId="0" applyNumberFormat="true">
      <alignment vertical="center"/>
    </xf>
    <xf numFmtId="302" fontId="39" fillId="3" borderId="9" xfId="0" applyNumberFormat="true" applyAlignment="true">
      <alignment horizontal="center" vertical="center"/>
    </xf>
    <xf numFmtId="302" fontId="3" fillId="3" borderId="9" xfId="0" applyNumberFormat="true" applyFont="true" applyAlignment="true">
      <alignment horizontal="center" vertical="center"/>
    </xf>
    <xf numFmtId="302" fontId="33" fillId="3" borderId="9" xfId="0" applyNumberFormat="true" applyFont="true" applyAlignment="true">
      <alignment horizontal="center" vertical="center"/>
    </xf>
    <xf numFmtId="302" fontId="4" fillId="3" borderId="9" xfId="0" applyNumberFormat="true" applyFont="true">
      <alignment vertical="center"/>
    </xf>
    <xf numFmtId="302" fontId="11" fillId="3" borderId="2" xfId="0" applyNumberFormat="true" applyFont="true" applyBorder="true" applyAlignment="true">
      <alignment horizontal="left" vertical="top" wrapText="true"/>
    </xf>
    <xf numFmtId="302" fontId="34" fillId="3" borderId="2" xfId="0" applyNumberFormat="true" applyFont="true" applyBorder="true" applyAlignment="true">
      <alignment horizontal="left" vertical="top" wrapText="true"/>
    </xf>
    <xf numFmtId="302" fontId="22" fillId="3" borderId="2" xfId="0" applyNumberFormat="true" applyFont="true" applyBorder="true" applyAlignment="true">
      <alignment horizontal="center" vertical="top" wrapText="true"/>
    </xf>
    <xf numFmtId="301" fontId="22" fillId="3" borderId="2" xfId="0" applyNumberFormat="true" applyFont="true" applyBorder="true" applyAlignment="true">
      <alignment horizontal="center" vertical="top" wrapText="true"/>
    </xf>
    <xf numFmtId="300" fontId="22" fillId="3" borderId="2" xfId="0" applyNumberFormat="true" applyFont="true" applyBorder="true" applyAlignment="true">
      <alignment horizontal="center" vertical="top" wrapText="true"/>
    </xf>
    <xf numFmtId="301" fontId="6" fillId="3" borderId="2" xfId="0" applyNumberFormat="true" applyFont="true" applyBorder="true" applyAlignment="true">
      <alignment horizontal="left" vertical="top" wrapText="true"/>
    </xf>
    <xf numFmtId="302" fontId="6" fillId="3" borderId="2" xfId="0" applyNumberFormat="true" applyFont="true" applyBorder="true" applyAlignment="true">
      <alignment horizontal="center" vertical="top" wrapText="true"/>
    </xf>
    <xf numFmtId="302" fontId="6" fillId="3" borderId="2" xfId="0" applyNumberFormat="true" applyFont="true" applyBorder="true" applyAlignment="true">
      <alignment horizontal="left" vertical="top" wrapText="true"/>
    </xf>
    <xf numFmtId="302" fontId="7" fillId="3" borderId="2" xfId="0" applyNumberFormat="true" applyFont="true" applyBorder="true" applyAlignment="true">
      <alignment horizontal="center" vertical="top" wrapText="true"/>
    </xf>
    <xf numFmtId="300" fontId="6" fillId="3" borderId="2" xfId="0" applyNumberFormat="true" applyFont="true" applyBorder="true" applyAlignment="true">
      <alignment horizontal="left" vertical="top" wrapText="true"/>
    </xf>
    <xf numFmtId="302" fontId="6" fillId="3" borderId="2" xfId="0" applyNumberFormat="true" applyFont="true" applyBorder="true" applyAlignment="true">
      <alignment horizontal="justify" vertical="top" wrapText="true"/>
    </xf>
    <xf numFmtId="302" fontId="6" fillId="3" borderId="2" xfId="0" applyNumberFormat="true" applyFont="true" applyBorder="true" applyAlignment="true">
      <alignment horizontal="left" vertical="center" wrapText="true"/>
    </xf>
    <xf numFmtId="305" fontId="11" fillId="3" borderId="1" xfId="0" applyFont="true" applyBorder="true" applyAlignment="true">
      <alignment horizontal="center" vertical="top" wrapText="true"/>
    </xf>
    <xf numFmtId="305" fontId="11" fillId="3" borderId="7" xfId="0" applyFont="true" applyBorder="true" applyAlignment="true">
      <alignment horizontal="center" vertical="top" wrapText="true"/>
    </xf>
    <xf numFmtId="305" fontId="35" fillId="3" borderId="3" xfId="0" applyFont="true" applyBorder="true" applyAlignment="true">
      <alignment horizontal="center" vertical="top" wrapText="true"/>
    </xf>
    <xf numFmtId="305" fontId="35" fillId="3" borderId="8" xfId="0" applyFont="true" applyBorder="true" applyAlignment="true">
      <alignment horizontal="center" vertical="top" wrapText="true"/>
    </xf>
    <xf numFmtId="305" fontId="35" fillId="3" borderId="2" xfId="0" applyFont="true" applyBorder="true" applyAlignment="true">
      <alignment horizontal="center" vertical="top" wrapText="true"/>
    </xf>
    <xf numFmtId="302" fontId="12" fillId="3" borderId="4" xfId="0" applyNumberFormat="true" applyFont="true" applyBorder="true" applyAlignment="true">
      <alignment horizontal="center" vertical="top" wrapText="true"/>
    </xf>
    <xf numFmtId="302" fontId="11" fillId="3" borderId="2" xfId="0" applyNumberFormat="true" applyFont="true" applyBorder="true" applyAlignment="true">
      <alignment horizontal="center" vertical="top" wrapText="true"/>
    </xf>
    <xf numFmtId="305" fontId="36" fillId="3" borderId="2" xfId="0" applyFont="true" applyBorder="true" applyAlignment="true">
      <alignment horizontal="center" vertical="top" wrapText="true"/>
    </xf>
    <xf numFmtId="302" fontId="12" fillId="3" borderId="2" xfId="0" applyNumberFormat="true" applyFont="true" applyBorder="true" applyAlignment="true">
      <alignment horizontal="center" vertical="top" wrapText="true"/>
    </xf>
    <xf numFmtId="10" fontId="27" fillId="3" borderId="2" xfId="0" applyNumberFormat="true" applyFont="true" applyBorder="true" applyAlignment="true">
      <alignment horizontal="center" vertical="top" wrapText="true"/>
    </xf>
    <xf numFmtId="10" fontId="8" fillId="3" borderId="2" xfId="0" applyNumberFormat="true" applyFont="true" applyBorder="true" applyAlignment="true">
      <alignment horizontal="center" vertical="top" wrapText="true"/>
    </xf>
    <xf numFmtId="10" fontId="6" fillId="3" borderId="2" xfId="0" applyNumberFormat="true" applyFont="true" applyBorder="true" applyAlignment="true">
      <alignment horizontal="center" vertical="top" wrapText="true"/>
    </xf>
    <xf numFmtId="10" fontId="37" fillId="3" borderId="2" xfId="0" applyNumberFormat="true" applyFont="true" applyBorder="true" applyAlignment="true">
      <alignment horizontal="center" vertical="top" wrapText="true"/>
    </xf>
    <xf numFmtId="302" fontId="37" fillId="3" borderId="2" xfId="0" applyNumberFormat="true" applyFont="true" applyBorder="true" applyAlignment="true">
      <alignment horizontal="center" vertical="top" wrapText="true"/>
    </xf>
    <xf numFmtId="301" fontId="12" fillId="3" borderId="2" xfId="0" applyNumberFormat="true" applyFont="true" applyBorder="true" applyAlignment="true">
      <alignment horizontal="center" vertical="top" wrapText="true"/>
    </xf>
    <xf numFmtId="301" fontId="6" fillId="3" borderId="2" xfId="0" applyNumberFormat="true" applyFont="true" applyBorder="true" applyAlignment="true">
      <alignment horizontal="center" vertical="top" wrapText="true"/>
    </xf>
    <xf numFmtId="305" fontId="38" fillId="3" borderId="2" xfId="0" applyFont="true" applyBorder="true" applyAlignment="true">
      <alignment horizontal="center" vertical="top" wrapText="true"/>
    </xf>
    <xf numFmtId="9" fontId="38" fillId="3" borderId="2" xfId="0" applyNumberFormat="true" applyFont="true" applyBorder="true" applyAlignment="true">
      <alignment horizontal="center" vertical="top" wrapText="true"/>
    </xf>
    <xf numFmtId="9" fontId="6" fillId="3" borderId="2" xfId="0" applyNumberFormat="true" applyFont="true" applyBorder="true" applyAlignment="true">
      <alignment horizontal="center" vertical="top" wrapText="true"/>
    </xf>
    <xf numFmtId="9" fontId="8" fillId="3" borderId="2" xfId="0" applyNumberFormat="true" applyFont="true" applyBorder="true" applyAlignment="true">
      <alignment horizontal="center" vertical="top" wrapText="true"/>
    </xf>
    <xf numFmtId="305" fontId="11" fillId="3" borderId="2" xfId="0" applyFont="true" applyBorder="true" applyAlignment="true">
      <alignment horizontal="left" vertical="top" wrapText="true"/>
    </xf>
    <xf numFmtId="305" fontId="11" fillId="3" borderId="3" xfId="0" applyFont="true" applyBorder="true" applyAlignment="true">
      <alignment horizontal="center" vertical="top" wrapText="true"/>
    </xf>
    <xf numFmtId="305" fontId="11" fillId="3" borderId="3" xfId="0" applyFont="true" applyBorder="true" applyAlignment="true">
      <alignment horizontal="left" vertical="top" wrapText="true"/>
    </xf>
    <xf numFmtId="305" fontId="24" fillId="3" borderId="2" xfId="0" applyFont="true" applyBorder="true" applyAlignment="true">
      <alignment horizontal="center" vertical="top" wrapText="true"/>
    </xf>
    <xf numFmtId="302" fontId="6" fillId="3" borderId="2" xfId="0" applyNumberFormat="true" applyFont="true" applyBorder="true">
      <alignment vertical="center"/>
    </xf>
    <xf numFmtId="302" fontId="7" fillId="3" borderId="2" xfId="0" applyNumberFormat="true" applyFont="true" applyBorder="true" applyAlignment="true">
      <alignment horizontal="center" vertical="center"/>
    </xf>
    <xf numFmtId="302" fontId="31" fillId="3" borderId="2" xfId="0" applyNumberFormat="true" applyFont="true" applyBorder="true" applyAlignment="true">
      <alignment horizontal="center" vertical="center"/>
    </xf>
    <xf numFmtId="305" fontId="6" fillId="3" borderId="9" xfId="0" applyFont="true" applyAlignment="true">
      <alignment horizontal="left" vertical="center"/>
    </xf>
    <xf numFmtId="305" fontId="7" fillId="3" borderId="9" xfId="0" applyFont="true">
      <alignment vertical="center"/>
    </xf>
    <xf numFmtId="10" fontId="6" fillId="3" borderId="9" xfId="0" applyNumberFormat="true" applyFont="true">
      <alignment vertical="center"/>
    </xf>
    <xf numFmtId="302" fontId="6" fillId="3" borderId="9" xfId="0" applyNumberFormat="true" applyFont="true">
      <alignment vertical="center"/>
    </xf>
    <xf numFmtId="305" fontId="10" fillId="3" borderId="9" xfId="0" applyNumberFormat="true" applyFont="true" applyFill="true" applyBorder="true" applyAlignment="true">
      <alignment horizontal="center" vertical="center"/>
    </xf>
    <xf numFmtId="305" fontId="10" fillId="3" borderId="9" xfId="0" applyNumberFormat="true" applyFont="true" applyFill="true" applyBorder="true" applyAlignment="true">
      <alignment vertical="center"/>
    </xf>
    <xf numFmtId="305" fontId="39" fillId="3" borderId="9" xfId="0" applyNumberFormat="true" applyFill="true" applyBorder="true" applyAlignment="true">
      <alignment vertical="center"/>
    </xf>
    <xf numFmtId="305" fontId="39" fillId="3" borderId="9" xfId="0" applyNumberFormat="true" applyFill="true" applyBorder="true" applyAlignment="true">
      <alignment horizontal="center" vertical="center"/>
    </xf>
    <xf numFmtId="305" fontId="5" fillId="3" borderId="9" xfId="0" applyNumberFormat="true" applyFont="true" applyFill="true" applyBorder="true" applyAlignment="true">
      <alignment horizontal="center" vertical="center"/>
    </xf>
    <xf numFmtId="302" fontId="39" fillId="3" borderId="9" xfId="0" applyNumberFormat="true" applyFill="true" applyBorder="true" applyAlignment="true">
      <alignment vertical="center"/>
    </xf>
    <xf numFmtId="305" fontId="5" fillId="3" borderId="9" xfId="0" applyNumberFormat="true" applyFont="true" applyFill="true" applyBorder="true" applyAlignment="true">
      <alignment vertical="center"/>
    </xf>
    <xf numFmtId="306" fontId="39" fillId="3" borderId="9" xfId="0" applyNumberFormat="true" applyFill="true" applyBorder="true" applyAlignment="true">
      <alignment vertical="center"/>
    </xf>
    <xf numFmtId="301" fontId="39" fillId="3" borderId="9" xfId="0" applyNumberFormat="true" applyFill="true" applyBorder="true" applyAlignment="true">
      <alignment vertical="center"/>
    </xf>
    <xf numFmtId="307" fontId="39" fillId="3" borderId="9" xfId="0" applyNumberFormat="true" applyFill="true" applyBorder="true" applyAlignment="true">
      <alignment vertical="center"/>
    </xf>
    <xf numFmtId="302" fontId="39" fillId="3" borderId="9" xfId="0" applyNumberFormat="true" applyFill="true" applyBorder="true" applyAlignment="true">
      <alignment horizontal="center" vertical="center"/>
    </xf>
    <xf numFmtId="305" fontId="6" fillId="3" borderId="9" xfId="0" applyNumberFormat="true" applyFont="true" applyFill="true" applyBorder="true" applyAlignment="true">
      <alignment vertical="center"/>
    </xf>
    <xf numFmtId="305" fontId="7" fillId="3" borderId="9" xfId="0" applyNumberFormat="true" applyFont="true" applyFill="true" applyBorder="true" applyAlignment="true">
      <alignment vertical="center"/>
    </xf>
    <xf numFmtId="302" fontId="4" fillId="3" borderId="9" xfId="0" applyNumberFormat="true" applyFont="true" applyFill="true" applyBorder="true" applyAlignment="true">
      <alignment vertical="center"/>
    </xf>
    <xf numFmtId="302" fontId="5" fillId="3" borderId="9" xfId="0" applyNumberFormat="true" applyFont="true" applyFill="true" applyBorder="true" applyAlignment="true">
      <alignment vertical="center"/>
    </xf>
  </cellXfs>
  <cellStyles>
    <cellStyle name="常规" xfId="0" builtinId="0"/>
    <cellStyle name="警告文本" xfId="1" builtinId="11"/>
    <cellStyle name="60% - 强调文字颜色 5" xfId="2" builtinId="48"/>
    <cellStyle name="40% - 强调文字颜色 1" xfId="3" builtinId="31"/>
    <cellStyle name="强调文字颜色 6" xfId="4" builtinId="49"/>
    <cellStyle name="超链接" xfId="5" builtinId="8"/>
    <cellStyle name="强调文字颜色 5" xfId="6" builtinId="45"/>
    <cellStyle name="标题" xfId="7" builtinId="15"/>
    <cellStyle name="60% - 强调文字颜色 6" xfId="8" builtinId="52"/>
    <cellStyle name="40% - 强调文字颜色 2" xfId="9" builtinId="35"/>
    <cellStyle name="40% - 强调文字颜色 6" xfId="10" builtinId="51"/>
    <cellStyle name="20% - 强调文字颜色 2" xfId="11" builtinId="34"/>
    <cellStyle name="千位分隔[0]" xfId="12" builtinId="6"/>
    <cellStyle name="40% - 强调文字颜色 4" xfId="13" builtinId="43"/>
    <cellStyle name="40% - 强调文字颜色 5" xfId="14" builtinId="47"/>
    <cellStyle name="注释" xfId="15" builtinId="10"/>
    <cellStyle name="40% - 强调文字颜色 3" xfId="16" builtinId="39"/>
    <cellStyle name="货币[0]" xfId="17" builtinId="7"/>
    <cellStyle name="60% - 强调文字颜色 4" xfId="18" builtinId="44"/>
    <cellStyle name="差" xfId="19" builtinId="27"/>
    <cellStyle name="标题 1" xfId="20" builtinId="16"/>
    <cellStyle name="解释性文本" xfId="21" builtinId="53"/>
    <cellStyle name="强调文字颜色 3" xfId="22" builtinId="37"/>
    <cellStyle name="标题 2" xfId="23" builtinId="17"/>
    <cellStyle name="20% - 强调文字颜色 3" xfId="24" builtinId="38"/>
    <cellStyle name="标题 4" xfId="25" builtinId="19"/>
    <cellStyle name="千位分隔" xfId="26" builtinId="3"/>
    <cellStyle name="60% - 强调文字颜色 3" xfId="27" builtinId="40"/>
    <cellStyle name="输入" xfId="28" builtinId="20"/>
    <cellStyle name="60% - 强调文字颜色 2" xfId="29" builtinId="36"/>
    <cellStyle name="60% - 强调文字颜色 1" xfId="30" builtinId="32"/>
    <cellStyle name="标题 3" xfId="31" builtinId="18"/>
    <cellStyle name="输出" xfId="32" builtinId="21"/>
    <cellStyle name="计算" xfId="33" builtinId="22"/>
    <cellStyle name="检查单元格" xfId="34" builtinId="23"/>
    <cellStyle name="20% - 强调文字颜色 6" xfId="35" builtinId="50"/>
    <cellStyle name="强调文字颜色 2" xfId="36" builtinId="33"/>
    <cellStyle name="强调文字颜色 1" xfId="37" builtinId="29"/>
    <cellStyle name="20% - 强调文字颜色 1" xfId="38" builtinId="30"/>
    <cellStyle name="适中" xfId="39" builtinId="28"/>
    <cellStyle name="好" xfId="40" builtinId="26"/>
    <cellStyle name="汇总" xfId="41" builtinId="25"/>
    <cellStyle name="链接单元格" xfId="42" builtinId="24"/>
    <cellStyle name="强调文字颜色 4" xfId="43" builtinId="41"/>
    <cellStyle name="货币" xfId="44" builtinId="4"/>
    <cellStyle name="20% - 强调文字颜色 4" xfId="45" builtinId="42"/>
    <cellStyle name="百分比" xfId="46" builtinId="5"/>
    <cellStyle name="已访问的超链接" xfId="47" builtinId="9"/>
    <cellStyle name="20% - 强调文字颜色 5" xfId="48" builtinId="46"/>
  </cellStyle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10" Type="http://schemas.openxmlformats.org/officeDocument/2006/relationships/worksheet" Target="worksheets/sheet8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AA57"/>
  <sheetViews>
    <sheetView showGridLines="true" zoomScale="120" zoomScaleNormal="120" workbookViewId="0">
      <pane xSplit="1" ySplit="3" topLeftCell="B4" activePane="bottomRight" state="frozen"/>
    </sheetView>
  </sheetViews>
  <sheetFormatPr defaultColWidth="8.62963" defaultRowHeight="14.4"/>
  <cols>
    <col min="1" max="1" width="4.37037" style="144" customWidth="true"/>
    <col min="2" max="2" width="18.75" style="144" customWidth="true"/>
    <col min="3" max="3" width="10.5" style="144" customWidth="true"/>
    <col min="4" max="6" width="9.25" style="144" customWidth="true"/>
    <col min="7" max="7" width="10.5" style="144" customWidth="true"/>
    <col min="8" max="8" width="5.5" style="145" customWidth="true"/>
    <col min="9" max="9" width="9.87037" style="144" customWidth="true"/>
    <col min="10" max="10" width="10.3704" style="146" customWidth="true"/>
    <col min="11" max="11" width="13.6296" style="143" customWidth="true"/>
    <col min="12" max="12" width="12.8889" style="147"/>
    <col min="13" max="13" width="8.62963" style="147"/>
    <col min="14" max="26" width="8.62963" style="143"/>
  </cols>
  <sheetData>
    <row r="1" spans="1:10" ht="23.25" customHeight="true">
      <c r="A1" s="46" t="s">
        <v>92</v>
      </c>
      <c r="B1" s="46" t="s"/>
      <c r="C1" s="46" t="s"/>
      <c r="D1" s="46" t="s"/>
      <c r="E1" s="46" t="s"/>
      <c r="F1" s="46" t="s"/>
      <c r="G1" s="46" t="s"/>
      <c r="H1" s="47" t="s"/>
      <c r="I1" s="46" t="s"/>
      <c r="J1" s="48" t="s"/>
    </row>
    <row r="2" spans="1:10" ht="20.1" customHeight="true">
      <c r="A2" s="49" t="s">
        <v>2</v>
      </c>
      <c r="B2" s="49" t="s"/>
      <c r="C2" s="49" t="s"/>
      <c r="D2" s="49" t="s"/>
      <c r="E2" s="49" t="s"/>
      <c r="F2" s="49" t="s"/>
      <c r="G2" s="49" t="s"/>
      <c r="H2" s="50" t="s"/>
      <c r="I2" s="49" t="s"/>
      <c r="J2" s="51" t="s"/>
    </row>
    <row r="3" spans="1:13" s="141" customFormat="true" ht="27.4" customHeight="true">
      <c r="A3" s="52" t="s">
        <v>3</v>
      </c>
      <c r="B3" s="52" t="s">
        <v>93</v>
      </c>
      <c r="C3" s="52" t="s">
        <v>94</v>
      </c>
      <c r="D3" s="52" t="s">
        <v>95</v>
      </c>
      <c r="E3" s="52" t="s">
        <v>96</v>
      </c>
      <c r="F3" s="52" t="s">
        <v>97</v>
      </c>
      <c r="G3" s="52" t="s">
        <v>5</v>
      </c>
      <c r="H3" s="52" t="s">
        <v>98</v>
      </c>
      <c r="I3" s="52" t="s">
        <v>99</v>
      </c>
      <c r="J3" s="53" t="s">
        <v>100</v>
      </c>
      <c r="L3" s="54" t="s"/>
      <c r="M3" s="54" t="s"/>
    </row>
    <row r="4" spans="1:10" ht="12" customHeight="true">
      <c r="A4" s="26" t="s">
        <v>101</v>
      </c>
      <c r="B4" s="55" t="s">
        <v>102</v>
      </c>
      <c r="C4" s="56">
        <f>=C5+C31</f>
        <v>97.872</v>
      </c>
      <c r="D4" s="56">
        <f>=D5+D31</f>
        <v>332.307</v>
      </c>
      <c r="E4" s="56">
        <f>=E5+E31</f>
        <v>3220.9424</v>
      </c>
      <c r="F4" s="56" t="s"/>
      <c r="G4" s="56">
        <f>=C4+D4+E4+F4</f>
        <v>3651.1214</v>
      </c>
      <c r="H4" s="57">
        <f>=G4/G54</f>
        <v>0.893679626195298</v>
      </c>
      <c r="I4" s="58" t="s"/>
      <c r="J4" s="59" t="s"/>
    </row>
    <row r="5" spans="1:13" s="142" customFormat="true">
      <c r="A5" s="55">
        <v>2</v>
      </c>
      <c r="B5" s="55" t="s">
        <v>103</v>
      </c>
      <c r="C5" s="56">
        <f>=C6+C22</f>
        <v>38.15</v>
      </c>
      <c r="D5" s="56">
        <f>=D6+D22</f>
        <v>315</v>
      </c>
      <c r="E5" s="56">
        <f>=E6+E22</f>
        <v>3077.4074</v>
      </c>
      <c r="F5" s="56" t="s"/>
      <c r="G5" s="27">
        <f>=C5+D5+E5+F5</f>
        <v>3430.5574</v>
      </c>
      <c r="H5" s="57">
        <f>=G5/G54</f>
        <v>0.839692499645045</v>
      </c>
      <c r="I5" s="58" t="s"/>
      <c r="J5" s="59" t="s"/>
      <c r="L5" s="60" t="s"/>
      <c r="M5" s="61" t="s"/>
    </row>
    <row r="6" spans="1:13" s="142" customFormat="true">
      <c r="A6" s="62">
        <v>1</v>
      </c>
      <c r="B6" s="62" t="s">
        <v>104</v>
      </c>
      <c r="C6" s="62">
        <f>=SUM(C7:C21)</f>
        <v>38.15</v>
      </c>
      <c r="D6" s="63">
        <f>=SUM(D7:D21)</f>
        <v>90</v>
      </c>
      <c r="E6" s="63">
        <f>=SUM(E7:E21)</f>
        <v>780.7874</v>
      </c>
      <c r="F6" s="62" t="s">
        <v>105</v>
      </c>
      <c r="G6" s="63">
        <f>=SUM(C6:F6)</f>
        <v>908.9374</v>
      </c>
      <c r="H6" s="64" t="s">
        <v>106</v>
      </c>
      <c r="I6" s="65">
        <v>3000</v>
      </c>
      <c r="J6" s="66">
        <f>=G6/I6</f>
        <v>0.302979133333333</v>
      </c>
      <c r="L6" s="61" t="s"/>
      <c r="M6" s="61" t="s"/>
    </row>
    <row r="7" spans="1:13" s="142" customFormat="true">
      <c r="A7" s="67" t="s"/>
      <c r="B7" s="67" t="s">
        <v>107</v>
      </c>
      <c r="C7" s="68" t="s">
        <v>105</v>
      </c>
      <c r="D7" s="68" t="s">
        <v>105</v>
      </c>
      <c r="E7" s="68">
        <f>=I7*J7</f>
        <v>474.498</v>
      </c>
      <c r="F7" s="68" t="s">
        <v>105</v>
      </c>
      <c r="G7" s="68">
        <f>=SUM(C7:F7)</f>
        <v>474.498</v>
      </c>
      <c r="H7" s="69" t="s">
        <v>108</v>
      </c>
      <c r="I7" s="70">
        <v>5454</v>
      </c>
      <c r="J7" s="70">
        <v>0.087</v>
      </c>
      <c r="K7" s="71" t="s"/>
      <c r="L7" s="60" t="s"/>
      <c r="M7" s="61" t="s"/>
    </row>
    <row r="8" spans="1:13" s="142" customFormat="true">
      <c r="A8" s="67" t="s"/>
      <c r="B8" s="67" t="s">
        <v>109</v>
      </c>
      <c r="C8" s="68" t="s">
        <v>105</v>
      </c>
      <c r="D8" s="68" t="s">
        <v>105</v>
      </c>
      <c r="E8" s="68">
        <f>=I8*J8</f>
        <v>75.6</v>
      </c>
      <c r="F8" s="68" t="s">
        <v>105</v>
      </c>
      <c r="G8" s="68">
        <f>=SUM(C8:F8)</f>
        <v>75.6</v>
      </c>
      <c r="H8" s="69" t="s">
        <v>110</v>
      </c>
      <c r="I8" s="70">
        <v>27</v>
      </c>
      <c r="J8" s="70">
        <v>2.8</v>
      </c>
      <c r="K8" s="71" t="s"/>
      <c r="L8" s="60" t="s"/>
      <c r="M8" s="61" t="s"/>
    </row>
    <row r="9" spans="1:13" s="142" customFormat="true">
      <c r="A9" s="67" t="s"/>
      <c r="B9" s="67" t="s">
        <v>111</v>
      </c>
      <c r="C9" s="68" t="s">
        <v>105</v>
      </c>
      <c r="D9" s="68" t="s">
        <v>105</v>
      </c>
      <c r="E9" s="68">
        <f>=I9*J9</f>
        <v>6.816</v>
      </c>
      <c r="F9" s="68" t="s">
        <v>105</v>
      </c>
      <c r="G9" s="68">
        <f>=SUM(C9:F9)</f>
        <v>6.816</v>
      </c>
      <c r="H9" s="69" t="s">
        <v>110</v>
      </c>
      <c r="I9" s="70">
        <v>6</v>
      </c>
      <c r="J9" s="70">
        <v>1.136</v>
      </c>
      <c r="K9" s="71" t="s"/>
      <c r="L9" s="60" t="s"/>
      <c r="M9" s="61" t="s"/>
    </row>
    <row r="10" spans="1:13" s="142" customFormat="true">
      <c r="A10" s="67" t="s"/>
      <c r="B10" s="67" t="s">
        <v>112</v>
      </c>
      <c r="C10" s="68" t="s">
        <v>105</v>
      </c>
      <c r="D10" s="68" t="s">
        <v>105</v>
      </c>
      <c r="E10" s="68">
        <f>=I10*J10</f>
        <v>78.4377</v>
      </c>
      <c r="F10" s="68" t="s">
        <v>105</v>
      </c>
      <c r="G10" s="68">
        <f>=SUM(C10:F10)</f>
        <v>78.4377</v>
      </c>
      <c r="H10" s="69" t="s">
        <v>113</v>
      </c>
      <c r="I10" s="70">
        <v>45.87</v>
      </c>
      <c r="J10" s="70">
        <v>1.71</v>
      </c>
      <c r="K10" s="71" t="s"/>
      <c r="L10" s="60" t="s"/>
      <c r="M10" s="61" t="s"/>
    </row>
    <row r="11" spans="1:13" s="142" customFormat="true">
      <c r="A11" s="67" t="s"/>
      <c r="B11" s="67" t="s">
        <v>114</v>
      </c>
      <c r="C11" s="68" t="s">
        <v>105</v>
      </c>
      <c r="D11" s="68" t="s">
        <v>105</v>
      </c>
      <c r="E11" s="68">
        <f>=I11*J11</f>
        <v>24.57</v>
      </c>
      <c r="F11" s="68" t="s">
        <v>105</v>
      </c>
      <c r="G11" s="68">
        <f>=SUM(C11:F11)</f>
        <v>24.57</v>
      </c>
      <c r="H11" s="69" t="s">
        <v>113</v>
      </c>
      <c r="I11" s="70">
        <v>63</v>
      </c>
      <c r="J11" s="70">
        <v>0.39</v>
      </c>
      <c r="K11" s="71" t="s"/>
      <c r="L11" s="60" t="s"/>
      <c r="M11" s="61" t="s"/>
    </row>
    <row r="12" spans="1:13" s="142" customFormat="true">
      <c r="A12" s="67" t="s"/>
      <c r="B12" s="67" t="s">
        <v>115</v>
      </c>
      <c r="C12" s="68" t="s">
        <v>105</v>
      </c>
      <c r="D12" s="68" t="s">
        <v>105</v>
      </c>
      <c r="E12" s="68">
        <f>=I12*J12</f>
        <v>0.7056</v>
      </c>
      <c r="F12" s="68" t="s">
        <v>105</v>
      </c>
      <c r="G12" s="68">
        <f>=SUM(C12:F12)</f>
        <v>0.7056</v>
      </c>
      <c r="H12" s="69" t="s">
        <v>116</v>
      </c>
      <c r="I12" s="70">
        <v>1.12</v>
      </c>
      <c r="J12" s="70">
        <v>0.63</v>
      </c>
      <c r="K12" s="71" t="s"/>
      <c r="L12" s="60" t="s"/>
      <c r="M12" s="61" t="s"/>
    </row>
    <row r="13" spans="1:13" s="142" customFormat="true">
      <c r="A13" s="67" t="s"/>
      <c r="B13" s="67" t="s">
        <v>117</v>
      </c>
      <c r="C13" s="68" t="s">
        <v>105</v>
      </c>
      <c r="D13" s="68" t="s">
        <v>105</v>
      </c>
      <c r="E13" s="68">
        <f>=I13*J13</f>
        <v>76.6941</v>
      </c>
      <c r="F13" s="68" t="s">
        <v>105</v>
      </c>
      <c r="G13" s="68">
        <f>=SUM(C13:F13)</f>
        <v>76.6941</v>
      </c>
      <c r="H13" s="69" t="s">
        <v>113</v>
      </c>
      <c r="I13" s="70">
        <v>4.13</v>
      </c>
      <c r="J13" s="70">
        <v>18.57</v>
      </c>
      <c r="K13" s="71" t="s"/>
      <c r="L13" s="60" t="s"/>
      <c r="M13" s="61" t="s"/>
    </row>
    <row r="14" spans="1:13" s="142" customFormat="true">
      <c r="A14" s="67" t="s"/>
      <c r="B14" s="67" t="s">
        <v>118</v>
      </c>
      <c r="C14" s="68" t="s">
        <v>105</v>
      </c>
      <c r="D14" s="68" t="s">
        <v>105</v>
      </c>
      <c r="E14" s="68">
        <f>=I14*J14</f>
        <v>12.15</v>
      </c>
      <c r="F14" s="68" t="s">
        <v>105</v>
      </c>
      <c r="G14" s="68">
        <f>=SUM(C14:F14)</f>
        <v>12.15</v>
      </c>
      <c r="H14" s="69" t="s">
        <v>110</v>
      </c>
      <c r="I14" s="70">
        <v>1</v>
      </c>
      <c r="J14" s="70">
        <v>12.15</v>
      </c>
      <c r="K14" s="71" t="s"/>
      <c r="L14" s="60" t="s"/>
      <c r="M14" s="61" t="s"/>
    </row>
    <row r="15" spans="1:13" s="142" customFormat="true">
      <c r="A15" s="67" t="s"/>
      <c r="B15" s="67" t="s">
        <v>119</v>
      </c>
      <c r="C15" s="68" t="s">
        <v>105</v>
      </c>
      <c r="D15" s="68" t="s">
        <v>105</v>
      </c>
      <c r="E15" s="68">
        <f>=I15*J15</f>
        <v>2.49</v>
      </c>
      <c r="F15" s="68" t="s">
        <v>105</v>
      </c>
      <c r="G15" s="68">
        <f>=SUM(C15:F15)</f>
        <v>2.49</v>
      </c>
      <c r="H15" s="69" t="s">
        <v>110</v>
      </c>
      <c r="I15" s="70">
        <v>1</v>
      </c>
      <c r="J15" s="70">
        <v>2.49</v>
      </c>
      <c r="K15" s="71" t="s"/>
      <c r="L15" s="60" t="s"/>
      <c r="M15" s="61" t="s"/>
    </row>
    <row r="16" spans="1:13" s="142" customFormat="true">
      <c r="A16" s="67" t="s"/>
      <c r="B16" s="67" t="s">
        <v>120</v>
      </c>
      <c r="C16" s="68" t="s">
        <v>105</v>
      </c>
      <c r="D16" s="68" t="s">
        <v>105</v>
      </c>
      <c r="E16" s="68">
        <f>=I16*J16</f>
        <v>2.7</v>
      </c>
      <c r="F16" s="68" t="s">
        <v>105</v>
      </c>
      <c r="G16" s="68">
        <f>=SUM(C16:F16)</f>
        <v>2.7</v>
      </c>
      <c r="H16" s="69" t="s">
        <v>110</v>
      </c>
      <c r="I16" s="70">
        <v>1</v>
      </c>
      <c r="J16" s="70">
        <v>2.7</v>
      </c>
      <c r="K16" s="71" t="s"/>
      <c r="L16" s="60" t="s"/>
      <c r="M16" s="61" t="s"/>
    </row>
    <row r="17" spans="1:13" s="142" customFormat="true">
      <c r="A17" s="67" t="s"/>
      <c r="B17" s="67" t="s">
        <v>121</v>
      </c>
      <c r="C17" s="68" t="s">
        <v>105</v>
      </c>
      <c r="D17" s="68" t="s">
        <v>105</v>
      </c>
      <c r="E17" s="68">
        <f>=I17*J17</f>
        <v>1.93</v>
      </c>
      <c r="F17" s="68" t="s">
        <v>105</v>
      </c>
      <c r="G17" s="68">
        <f>=SUM(C17:F17)</f>
        <v>1.93</v>
      </c>
      <c r="H17" s="69" t="s">
        <v>110</v>
      </c>
      <c r="I17" s="70">
        <v>1</v>
      </c>
      <c r="J17" s="70">
        <v>1.93</v>
      </c>
      <c r="K17" s="71" t="s"/>
      <c r="L17" s="60" t="s"/>
      <c r="M17" s="61" t="s"/>
    </row>
    <row r="18" spans="1:13" s="142" customFormat="true">
      <c r="A18" s="67" t="s"/>
      <c r="B18" s="67" t="s">
        <v>122</v>
      </c>
      <c r="C18" s="68" t="s">
        <v>105</v>
      </c>
      <c r="D18" s="68" t="s">
        <v>105</v>
      </c>
      <c r="E18" s="68">
        <f>=I18*J18</f>
        <v>18.04</v>
      </c>
      <c r="F18" s="68" t="s">
        <v>105</v>
      </c>
      <c r="G18" s="68">
        <f>=SUM(C18:F18)</f>
        <v>18.04</v>
      </c>
      <c r="H18" s="69" t="s">
        <v>110</v>
      </c>
      <c r="I18" s="70">
        <v>1</v>
      </c>
      <c r="J18" s="70">
        <v>18.04</v>
      </c>
      <c r="K18" s="71" t="s"/>
      <c r="L18" s="60" t="s"/>
      <c r="M18" s="61" t="s"/>
    </row>
    <row r="19" spans="1:13" s="142" customFormat="true">
      <c r="A19" s="67" t="s"/>
      <c r="B19" s="67" t="s">
        <v>123</v>
      </c>
      <c r="C19" s="68" t="s">
        <v>105</v>
      </c>
      <c r="D19" s="68" t="s">
        <v>105</v>
      </c>
      <c r="E19" s="68">
        <f>=I19*J19</f>
        <v>6.156</v>
      </c>
      <c r="F19" s="68" t="s">
        <v>105</v>
      </c>
      <c r="G19" s="68">
        <f>=SUM(C19:F19)</f>
        <v>6.156</v>
      </c>
      <c r="H19" s="69" t="s">
        <v>124</v>
      </c>
      <c r="I19" s="70">
        <v>108</v>
      </c>
      <c r="J19" s="70">
        <v>0.057</v>
      </c>
      <c r="K19" s="71" t="s"/>
      <c r="L19" s="60" t="s"/>
      <c r="M19" s="61" t="s"/>
    </row>
    <row r="20" spans="1:13" s="142" customFormat="true">
      <c r="A20" s="67" t="s"/>
      <c r="B20" s="67" t="s">
        <v>125</v>
      </c>
      <c r="C20" s="68">
        <f>=I20*J20</f>
        <v>38.15</v>
      </c>
      <c r="D20" s="68" t="s">
        <v>105</v>
      </c>
      <c r="E20" s="68" t="s">
        <v>105</v>
      </c>
      <c r="F20" s="68" t="s">
        <v>105</v>
      </c>
      <c r="G20" s="68">
        <f>=SUM(C20:F20)</f>
        <v>38.15</v>
      </c>
      <c r="H20" s="69" t="s">
        <v>126</v>
      </c>
      <c r="I20" s="70">
        <v>1</v>
      </c>
      <c r="J20" s="70">
        <v>38.15</v>
      </c>
      <c r="K20" s="71" t="s"/>
      <c r="L20" s="60" t="s"/>
      <c r="M20" s="61" t="s"/>
    </row>
    <row r="21" spans="1:13" s="142" customFormat="true">
      <c r="A21" s="67" t="s"/>
      <c r="B21" s="67" t="s">
        <v>127</v>
      </c>
      <c r="C21" s="68" t="s">
        <v>105</v>
      </c>
      <c r="D21" s="68">
        <f>=I21*J21</f>
        <v>90</v>
      </c>
      <c r="E21" s="68" t="s">
        <v>105</v>
      </c>
      <c r="F21" s="68" t="s">
        <v>105</v>
      </c>
      <c r="G21" s="68">
        <f>=SUM(C21:F21)</f>
        <v>90</v>
      </c>
      <c r="H21" s="69" t="s">
        <v>106</v>
      </c>
      <c r="I21" s="70">
        <v>3000</v>
      </c>
      <c r="J21" s="70">
        <v>0.03</v>
      </c>
      <c r="K21" s="71" t="s"/>
      <c r="L21" s="60" t="s"/>
      <c r="M21" s="61" t="s"/>
    </row>
    <row r="22" spans="1:13" s="142" customFormat="true" ht="19.2">
      <c r="A22" s="62">
        <v>2</v>
      </c>
      <c r="B22" s="62" t="s">
        <v>128</v>
      </c>
      <c r="C22" s="62" t="s"/>
      <c r="D22" s="62">
        <f>=SUM(D23:D30)</f>
        <v>225</v>
      </c>
      <c r="E22" s="62">
        <f>=SUM(E23:E30)</f>
        <v>2296.62</v>
      </c>
      <c r="F22" s="62" t="s"/>
      <c r="G22" s="62">
        <f>=SUM(C22:F22)</f>
        <v>2521.62</v>
      </c>
      <c r="H22" s="64" t="s">
        <v>129</v>
      </c>
      <c r="I22" s="65">
        <v>18000</v>
      </c>
      <c r="J22" s="72">
        <f>=G22/I22</f>
        <v>0.14009</v>
      </c>
      <c r="L22" s="61" t="s"/>
      <c r="M22" s="61" t="s"/>
    </row>
    <row r="23" spans="1:13" s="142" customFormat="true">
      <c r="A23" s="67" t="s"/>
      <c r="B23" s="67" t="s">
        <v>130</v>
      </c>
      <c r="C23" s="67" t="s">
        <v>105</v>
      </c>
      <c r="D23" s="67" t="s">
        <v>105</v>
      </c>
      <c r="E23" s="67">
        <f>=I23*J23</f>
        <v>1572.12</v>
      </c>
      <c r="F23" s="67" t="s">
        <v>105</v>
      </c>
      <c r="G23" s="67">
        <f>=SUM(C23:F23)</f>
        <v>1572.12</v>
      </c>
      <c r="H23" s="73" t="s">
        <v>131</v>
      </c>
      <c r="I23" s="74">
        <v>9</v>
      </c>
      <c r="J23" s="70">
        <v>174.68</v>
      </c>
      <c r="L23" s="60" t="s"/>
      <c r="M23" s="61" t="s"/>
    </row>
    <row r="24" spans="1:13" s="142" customFormat="true">
      <c r="A24" s="67" t="s"/>
      <c r="B24" s="67" t="s">
        <v>132</v>
      </c>
      <c r="C24" s="67" t="s">
        <v>105</v>
      </c>
      <c r="D24" s="67" t="s">
        <v>105</v>
      </c>
      <c r="E24" s="67">
        <f>=I24*J24</f>
        <v>225</v>
      </c>
      <c r="F24" s="67" t="s">
        <v>105</v>
      </c>
      <c r="G24" s="67">
        <f>=SUM(C24:F24)</f>
        <v>225</v>
      </c>
      <c r="H24" s="73" t="s">
        <v>131</v>
      </c>
      <c r="I24" s="74">
        <v>9</v>
      </c>
      <c r="J24" s="70">
        <v>25</v>
      </c>
      <c r="L24" s="60" t="s"/>
      <c r="M24" s="61" t="s"/>
    </row>
    <row r="25" spans="1:13" s="142" customFormat="true">
      <c r="A25" s="67" t="s"/>
      <c r="B25" s="67" t="s">
        <v>133</v>
      </c>
      <c r="C25" s="67" t="s">
        <v>105</v>
      </c>
      <c r="D25" s="67" t="s">
        <v>105</v>
      </c>
      <c r="E25" s="67">
        <f>=I25*J25</f>
        <v>103.5</v>
      </c>
      <c r="F25" s="67" t="s">
        <v>105</v>
      </c>
      <c r="G25" s="67">
        <f>=SUM(C25:F25)</f>
        <v>103.5</v>
      </c>
      <c r="H25" s="73" t="s">
        <v>131</v>
      </c>
      <c r="I25" s="74">
        <f>=I24</f>
        <v>9</v>
      </c>
      <c r="J25" s="70">
        <v>11.5</v>
      </c>
      <c r="L25" s="60" t="s"/>
      <c r="M25" s="61" t="s"/>
    </row>
    <row r="26" spans="1:13" s="142" customFormat="true">
      <c r="A26" s="67" t="s"/>
      <c r="B26" s="67" t="s">
        <v>134</v>
      </c>
      <c r="C26" s="67" t="s">
        <v>105</v>
      </c>
      <c r="D26" s="67" t="s">
        <v>105</v>
      </c>
      <c r="E26" s="67">
        <f>=I26*J26</f>
        <v>108</v>
      </c>
      <c r="F26" s="67" t="s">
        <v>105</v>
      </c>
      <c r="G26" s="67">
        <f>=SUM(C26:F26)</f>
        <v>108</v>
      </c>
      <c r="H26" s="73" t="s">
        <v>131</v>
      </c>
      <c r="I26" s="74">
        <f>=I25</f>
        <v>9</v>
      </c>
      <c r="J26" s="70">
        <v>12</v>
      </c>
      <c r="L26" s="60" t="s"/>
      <c r="M26" s="61" t="s"/>
    </row>
    <row r="27" spans="1:13" s="142" customFormat="true">
      <c r="A27" s="67" t="s"/>
      <c r="B27" s="67" t="s">
        <v>135</v>
      </c>
      <c r="C27" s="67" t="s">
        <v>105</v>
      </c>
      <c r="D27" s="67" t="s">
        <v>105</v>
      </c>
      <c r="E27" s="67">
        <f>=I27*J27</f>
        <v>121.5</v>
      </c>
      <c r="F27" s="67" t="s">
        <v>105</v>
      </c>
      <c r="G27" s="67">
        <f>=SUM(C27:F27)</f>
        <v>121.5</v>
      </c>
      <c r="H27" s="73" t="s">
        <v>131</v>
      </c>
      <c r="I27" s="74">
        <f>=I26</f>
        <v>9</v>
      </c>
      <c r="J27" s="70">
        <v>13.5</v>
      </c>
      <c r="L27" s="60" t="s"/>
      <c r="M27" s="61" t="s"/>
    </row>
    <row r="28" spans="1:13" s="142" customFormat="true">
      <c r="A28" s="67" t="s"/>
      <c r="B28" s="67" t="s">
        <v>136</v>
      </c>
      <c r="C28" s="67" t="s">
        <v>105</v>
      </c>
      <c r="D28" s="67" t="s">
        <v>105</v>
      </c>
      <c r="E28" s="67">
        <f>=I28*J28</f>
        <v>90</v>
      </c>
      <c r="F28" s="67" t="s">
        <v>105</v>
      </c>
      <c r="G28" s="67">
        <f>=SUM(C28:F28)</f>
        <v>90</v>
      </c>
      <c r="H28" s="73" t="s">
        <v>131</v>
      </c>
      <c r="I28" s="74">
        <f>=I27</f>
        <v>9</v>
      </c>
      <c r="J28" s="70">
        <v>10</v>
      </c>
      <c r="L28" s="60" t="s"/>
      <c r="M28" s="61" t="s"/>
    </row>
    <row r="29" spans="1:13" s="142" customFormat="true">
      <c r="A29" s="67" t="s"/>
      <c r="B29" s="67" t="s">
        <v>137</v>
      </c>
      <c r="C29" s="67" t="s">
        <v>105</v>
      </c>
      <c r="D29" s="67" t="s">
        <v>105</v>
      </c>
      <c r="E29" s="67">
        <f>=I29*J29</f>
        <v>76.5</v>
      </c>
      <c r="F29" s="67" t="s">
        <v>105</v>
      </c>
      <c r="G29" s="67">
        <f>=SUM(C29:F29)</f>
        <v>76.5</v>
      </c>
      <c r="H29" s="73" t="s">
        <v>131</v>
      </c>
      <c r="I29" s="74">
        <f>=I28</f>
        <v>9</v>
      </c>
      <c r="J29" s="70">
        <v>8.5</v>
      </c>
      <c r="L29" s="60" t="s"/>
      <c r="M29" s="61" t="s"/>
    </row>
    <row r="30" spans="1:13" s="142" customFormat="true">
      <c r="A30" s="67" t="s"/>
      <c r="B30" s="67" t="s">
        <v>138</v>
      </c>
      <c r="C30" s="67" t="s">
        <v>105</v>
      </c>
      <c r="D30" s="67">
        <f>=I30*J30</f>
        <v>225</v>
      </c>
      <c r="E30" s="67" t="s">
        <v>105</v>
      </c>
      <c r="F30" s="67" t="s">
        <v>105</v>
      </c>
      <c r="G30" s="67">
        <f>=SUM(C30:F30)</f>
        <v>225</v>
      </c>
      <c r="H30" s="73" t="s">
        <v>131</v>
      </c>
      <c r="I30" s="74">
        <f>=I29</f>
        <v>9</v>
      </c>
      <c r="J30" s="70">
        <v>25</v>
      </c>
      <c r="L30" s="60" t="s"/>
      <c r="M30" s="61" t="s"/>
    </row>
    <row r="31" spans="1:13" s="142" customFormat="true">
      <c r="A31" s="62" t="s"/>
      <c r="B31" s="62" t="s">
        <v>139</v>
      </c>
      <c r="C31" s="63">
        <f>=SUM(C32:C35)</f>
        <v>59.722</v>
      </c>
      <c r="D31" s="63">
        <f>=SUM(D32:D35)</f>
        <v>17.307</v>
      </c>
      <c r="E31" s="63">
        <f>=SUM(E32:E35)</f>
        <v>143.535</v>
      </c>
      <c r="F31" s="63">
        <f>=SUM(F32:F35)</f>
        <v>0</v>
      </c>
      <c r="G31" s="63">
        <f>=SUM(C31:F31)</f>
        <v>220.564</v>
      </c>
      <c r="H31" s="73" t="s">
        <v>140</v>
      </c>
      <c r="I31" s="74">
        <v>5551.3</v>
      </c>
      <c r="J31" s="74">
        <v>0.227</v>
      </c>
      <c r="L31" s="61" t="s"/>
      <c r="M31" s="61" t="s"/>
    </row>
    <row r="32" spans="1:13" s="142" customFormat="true">
      <c r="A32" s="67" t="s"/>
      <c r="B32" s="67" t="s">
        <v>141</v>
      </c>
      <c r="C32" s="68">
        <f>=I32*J32</f>
        <v>48.184</v>
      </c>
      <c r="D32" s="67" t="s"/>
      <c r="E32" s="67" t="s"/>
      <c r="F32" s="67" t="s"/>
      <c r="G32" s="68">
        <f>=SUM(C32:F32)</f>
        <v>48.184</v>
      </c>
      <c r="H32" s="73" t="s">
        <v>140</v>
      </c>
      <c r="I32" s="74">
        <v>152</v>
      </c>
      <c r="J32" s="74">
        <v>0.317</v>
      </c>
      <c r="L32" s="60" t="s"/>
      <c r="M32" s="61" t="s"/>
    </row>
    <row r="33" spans="1:13" s="142" customFormat="true">
      <c r="A33" s="67" t="s"/>
      <c r="B33" s="67" t="s">
        <v>142</v>
      </c>
      <c r="C33" s="68">
        <f>=I33*J33*0.1</f>
        <v>11.538</v>
      </c>
      <c r="D33" s="68">
        <f>=I33*J33*0.15</f>
        <v>17.307</v>
      </c>
      <c r="E33" s="68">
        <f>=I33*J33*0.75</f>
        <v>86.535</v>
      </c>
      <c r="F33" s="68" t="s"/>
      <c r="G33" s="68">
        <f>=SUM(C33:F33)</f>
        <v>115.38</v>
      </c>
      <c r="H33" s="74" t="s">
        <v>140</v>
      </c>
      <c r="I33" s="74">
        <v>90</v>
      </c>
      <c r="J33" s="74">
        <v>1.282</v>
      </c>
      <c r="L33" s="60" t="s"/>
      <c r="M33" s="61" t="s"/>
    </row>
    <row r="34" spans="1:13" s="142" customFormat="true" ht="14.1" customHeight="true">
      <c r="A34" s="67">
        <v>2.3</v>
      </c>
      <c r="B34" s="67" t="s">
        <v>143</v>
      </c>
      <c r="C34" s="67" t="s">
        <v>105</v>
      </c>
      <c r="D34" s="67" t="s">
        <v>105</v>
      </c>
      <c r="E34" s="67">
        <v>25</v>
      </c>
      <c r="F34" s="67" t="s">
        <v>105</v>
      </c>
      <c r="G34" s="67">
        <f>=SUM(C34:F34)</f>
        <v>25</v>
      </c>
      <c r="H34" s="74" t="s">
        <v>110</v>
      </c>
      <c r="I34" s="74">
        <v>1</v>
      </c>
      <c r="J34" s="74">
        <v>25</v>
      </c>
      <c r="K34" s="75" t="s"/>
      <c r="L34" s="76" t="s"/>
      <c r="M34" s="61" t="s"/>
    </row>
    <row r="35" spans="1:13" s="142" customFormat="true" ht="14.1" customHeight="true">
      <c r="A35" s="67">
        <v>2.4</v>
      </c>
      <c r="B35" s="67" t="s">
        <v>144</v>
      </c>
      <c r="C35" s="67" t="s">
        <v>105</v>
      </c>
      <c r="D35" s="67" t="s">
        <v>105</v>
      </c>
      <c r="E35" s="67">
        <f>=I35*J35</f>
        <v>32</v>
      </c>
      <c r="F35" s="67" t="s">
        <v>105</v>
      </c>
      <c r="G35" s="67">
        <f>=SUM(C35:F35)</f>
        <v>32</v>
      </c>
      <c r="H35" s="74" t="s">
        <v>131</v>
      </c>
      <c r="I35" s="74">
        <v>4</v>
      </c>
      <c r="J35" s="74">
        <v>8</v>
      </c>
      <c r="K35" s="75" t="s"/>
      <c r="L35" s="76" t="s"/>
      <c r="M35" s="61" t="s"/>
    </row>
    <row r="36" spans="1:13" s="142" customFormat="true" ht="14.1" customHeight="true">
      <c r="A36" s="55" t="s">
        <v>145</v>
      </c>
      <c r="B36" s="55" t="s">
        <v>146</v>
      </c>
      <c r="C36" s="56" t="s"/>
      <c r="D36" s="56" t="s"/>
      <c r="E36" s="56" t="s"/>
      <c r="F36" s="56">
        <f>=SUM(F37:F46)</f>
        <v>201.4238272</v>
      </c>
      <c r="G36" s="56">
        <f>=C36+D36+E36+F36</f>
        <v>201.4238272</v>
      </c>
      <c r="H36" s="57">
        <f>=G36/G54</f>
        <v>0.04930221454672</v>
      </c>
      <c r="I36" s="58" t="s"/>
      <c r="J36" s="59" t="s"/>
      <c r="K36" s="75" t="s"/>
      <c r="L36" s="76" t="s"/>
      <c r="M36" s="61" t="s"/>
    </row>
    <row r="37" spans="1:12" ht="14.1" customHeight="true">
      <c r="A37" s="26">
        <v>2</v>
      </c>
      <c r="B37" s="67" t="s">
        <v>147</v>
      </c>
      <c r="C37" s="27" t="s"/>
      <c r="D37" s="27" t="s"/>
      <c r="E37" s="27" t="s"/>
      <c r="F37" s="68">
        <f>=G4*0.008</f>
        <v>29.2089712</v>
      </c>
      <c r="G37" s="27">
        <f>=C37+D37+E37+F37</f>
        <v>29.2089712</v>
      </c>
      <c r="H37" s="77" t="s"/>
      <c r="I37" s="78" t="s"/>
      <c r="J37" s="79" t="s"/>
      <c r="K37" s="80" t="s"/>
      <c r="L37" s="81" t="s"/>
    </row>
    <row r="38" spans="1:10" ht="14.1" customHeight="true">
      <c r="A38" s="26">
        <v>3</v>
      </c>
      <c r="B38" s="67" t="s">
        <v>148</v>
      </c>
      <c r="C38" s="27" t="s"/>
      <c r="D38" s="27" t="s"/>
      <c r="E38" s="27" t="s"/>
      <c r="F38" s="68">
        <f>=G4*0.006</f>
        <v>21.9067284</v>
      </c>
      <c r="G38" s="27">
        <f>=C38+D38+E38+F38</f>
        <v>21.9067284</v>
      </c>
      <c r="H38" s="82" t="s"/>
      <c r="I38" s="83" t="s"/>
      <c r="J38" s="84" t="s"/>
    </row>
    <row r="39" spans="1:10" ht="14.1" customHeight="true">
      <c r="A39" s="26">
        <v>4</v>
      </c>
      <c r="B39" s="67" t="s">
        <v>149</v>
      </c>
      <c r="C39" s="27" t="s"/>
      <c r="D39" s="27" t="s"/>
      <c r="E39" s="27" t="s"/>
      <c r="F39" s="68">
        <f>=G4*0.005</f>
        <v>18.255607</v>
      </c>
      <c r="G39" s="27">
        <f>=C39+D39+E39+F39</f>
        <v>18.255607</v>
      </c>
      <c r="H39" s="82" t="s"/>
      <c r="I39" s="83" t="s"/>
      <c r="J39" s="84" t="s"/>
    </row>
    <row r="40" spans="1:13" ht="14.1" customHeight="true">
      <c r="A40" s="26">
        <v>5</v>
      </c>
      <c r="B40" s="67" t="s">
        <v>150</v>
      </c>
      <c r="C40" s="27" t="s"/>
      <c r="D40" s="27" t="s"/>
      <c r="E40" s="27" t="s"/>
      <c r="F40" s="68">
        <v>26.17</v>
      </c>
      <c r="G40" s="27">
        <f>=C40+D40+E40+F40</f>
        <v>26.17</v>
      </c>
      <c r="H40" s="82" t="s"/>
      <c r="I40" s="83" t="s"/>
      <c r="J40" s="85" t="s"/>
      <c r="L40" s="7" t="s"/>
      <c r="M40" s="7" t="s"/>
    </row>
    <row r="41" spans="1:10" ht="14.1" customHeight="true">
      <c r="A41" s="26">
        <v>6</v>
      </c>
      <c r="B41" s="67" t="s">
        <v>151</v>
      </c>
      <c r="C41" s="27" t="s"/>
      <c r="D41" s="27" t="s"/>
      <c r="E41" s="27" t="s"/>
      <c r="F41" s="68">
        <f>=G4*0.01</f>
        <v>36.511214</v>
      </c>
      <c r="G41" s="27">
        <f>=C41+D41+E41+F41</f>
        <v>36.511214</v>
      </c>
      <c r="H41" s="82" t="s"/>
      <c r="I41" s="83" t="s"/>
      <c r="J41" s="84" t="s"/>
    </row>
    <row r="42" spans="1:10" ht="17.1" customHeight="true">
      <c r="A42" s="26">
        <v>7</v>
      </c>
      <c r="B42" s="67" t="s">
        <v>152</v>
      </c>
      <c r="C42" s="27" t="s"/>
      <c r="D42" s="27" t="s"/>
      <c r="E42" s="27" t="s"/>
      <c r="F42" s="68">
        <f>=G4*0.002</f>
        <v>7.3022428</v>
      </c>
      <c r="G42" s="27">
        <f>=C42+D42+E42+F42</f>
        <v>7.3022428</v>
      </c>
      <c r="H42" s="77" t="s"/>
      <c r="I42" s="86" t="s"/>
      <c r="J42" s="87" t="s"/>
    </row>
    <row r="43" spans="1:10" ht="20.1" customHeight="true">
      <c r="A43" s="26">
        <v>8</v>
      </c>
      <c r="B43" s="67" t="s">
        <v>153</v>
      </c>
      <c r="C43" s="27" t="s"/>
      <c r="D43" s="27" t="s"/>
      <c r="E43" s="27" t="s"/>
      <c r="F43" s="68">
        <f>=G4*0.007</f>
        <v>25.5578498</v>
      </c>
      <c r="G43" s="27">
        <f>=C43+D43+E43+F43</f>
        <v>25.5578498</v>
      </c>
      <c r="H43" s="77" t="s"/>
      <c r="I43" s="86" t="s"/>
      <c r="J43" s="87" t="s"/>
    </row>
    <row r="44" spans="1:10" ht="18.95" customHeight="true">
      <c r="A44" s="26">
        <v>9</v>
      </c>
      <c r="B44" s="67" t="s">
        <v>154</v>
      </c>
      <c r="C44" s="27" t="s"/>
      <c r="D44" s="27" t="s"/>
      <c r="E44" s="27" t="s"/>
      <c r="F44" s="68">
        <f>=G4*0.005</f>
        <v>18.255607</v>
      </c>
      <c r="G44" s="27">
        <f>=C44+D44+E44+F44</f>
        <v>18.255607</v>
      </c>
      <c r="H44" s="77" t="s"/>
      <c r="I44" s="86" t="s"/>
      <c r="J44" s="87" t="s"/>
    </row>
    <row r="45" spans="1:10" ht="18.95" customHeight="true">
      <c r="A45" s="26">
        <v>10</v>
      </c>
      <c r="B45" s="67" t="s">
        <v>155</v>
      </c>
      <c r="C45" s="27" t="s"/>
      <c r="D45" s="27" t="s"/>
      <c r="E45" s="27" t="s"/>
      <c r="F45" s="68">
        <f>=G4*0.002</f>
        <v>7.3022428</v>
      </c>
      <c r="G45" s="27">
        <f>=C45+D45+E45+F45</f>
        <v>7.3022428</v>
      </c>
      <c r="H45" s="77" t="s"/>
      <c r="I45" s="86" t="s"/>
      <c r="J45" s="87" t="s"/>
    </row>
    <row r="46" spans="1:13" s="142" customFormat="true" ht="14.1" customHeight="true">
      <c r="A46" s="26">
        <v>11</v>
      </c>
      <c r="B46" s="67" t="s">
        <v>156</v>
      </c>
      <c r="C46" s="56" t="s"/>
      <c r="D46" s="56" t="s"/>
      <c r="E46" s="56" t="s"/>
      <c r="F46" s="27">
        <f>=G4*0.003</f>
        <v>10.9533642</v>
      </c>
      <c r="G46" s="27">
        <f>=C46+D46+E46+F46</f>
        <v>10.9533642</v>
      </c>
      <c r="H46" s="57" t="s"/>
      <c r="I46" s="58" t="s"/>
      <c r="J46" s="59" t="s"/>
      <c r="L46" s="61" t="s"/>
      <c r="M46" s="61" t="s"/>
    </row>
    <row r="47" spans="1:13" s="142" customFormat="true" ht="14.1" customHeight="true">
      <c r="A47" s="55" t="s">
        <v>157</v>
      </c>
      <c r="B47" s="55" t="s">
        <v>158</v>
      </c>
      <c r="C47" s="56" t="s"/>
      <c r="D47" s="56" t="s"/>
      <c r="E47" s="56" t="s"/>
      <c r="F47" s="56">
        <f>=F48+F49</f>
        <v>192.62726136</v>
      </c>
      <c r="G47" s="56">
        <f>=G48+G49</f>
        <v>192.62726136</v>
      </c>
      <c r="H47" s="57">
        <f>=G47/G54</f>
        <v>0.047149092037101</v>
      </c>
      <c r="I47" s="58" t="s"/>
      <c r="J47" s="59" t="s"/>
      <c r="L47" s="61" t="s"/>
      <c r="M47" s="61" t="s"/>
    </row>
    <row r="48" spans="1:10" ht="14.1" customHeight="true">
      <c r="A48" s="26">
        <v>3.1</v>
      </c>
      <c r="B48" s="26" t="s">
        <v>159</v>
      </c>
      <c r="C48" s="27" t="s"/>
      <c r="D48" s="27" t="s"/>
      <c r="E48" s="27" t="s"/>
      <c r="F48" s="27">
        <f>=(G4+G36)*0.05</f>
        <v>192.62726136</v>
      </c>
      <c r="G48" s="27">
        <f>=F48</f>
        <v>192.62726136</v>
      </c>
      <c r="H48" s="77" t="s">
        <v>228</v>
      </c>
      <c r="I48" s="86" t="s"/>
      <c r="J48" s="88" t="s"/>
    </row>
    <row r="49" spans="1:10" ht="14.1" customHeight="true">
      <c r="A49" s="26">
        <v>3.2</v>
      </c>
      <c r="B49" s="26" t="s">
        <v>160</v>
      </c>
      <c r="C49" s="27" t="s"/>
      <c r="D49" s="27" t="s"/>
      <c r="E49" s="27" t="s"/>
      <c r="F49" s="27" t="s"/>
      <c r="G49" s="27" t="s"/>
      <c r="H49" s="77" t="s"/>
      <c r="I49" s="86" t="s"/>
      <c r="J49" s="88" t="s"/>
    </row>
    <row r="50" spans="1:13" s="142" customFormat="true" ht="14.1" customHeight="true">
      <c r="A50" s="55" t="s">
        <v>88</v>
      </c>
      <c r="B50" s="55" t="s">
        <v>161</v>
      </c>
      <c r="C50" s="56">
        <f>=C47+C36+C4</f>
        <v>97.872</v>
      </c>
      <c r="D50" s="56">
        <f>=D47+D36+D4</f>
        <v>332.307</v>
      </c>
      <c r="E50" s="56">
        <f>=E47+E36+E4</f>
        <v>3220.9424</v>
      </c>
      <c r="F50" s="56">
        <f>=F47+F36+F4</f>
        <v>394.05108856</v>
      </c>
      <c r="G50" s="56">
        <f>=G4+G36+G47</f>
        <v>4045.17248856</v>
      </c>
      <c r="H50" s="57">
        <f>=G50/G54</f>
        <v>0.99013093277912</v>
      </c>
      <c r="I50" s="58" t="s"/>
      <c r="J50" s="59" t="s"/>
      <c r="L50" s="61" t="s"/>
      <c r="M50" s="61" t="s"/>
    </row>
    <row r="51" spans="1:10" ht="14.1" customHeight="true">
      <c r="A51" s="26" t="s"/>
      <c r="B51" s="26" t="s">
        <v>162</v>
      </c>
      <c r="C51" s="89">
        <f>=C50/G50</f>
        <v>0.024194765557411</v>
      </c>
      <c r="D51" s="89">
        <f>=D50/G50</f>
        <v>0.08214903095969</v>
      </c>
      <c r="E51" s="89">
        <f>=E50/G50</f>
        <v>0.796243524623246</v>
      </c>
      <c r="F51" s="89">
        <f>=F50/G50</f>
        <v>0.097412678859653</v>
      </c>
      <c r="G51" s="89">
        <v>1</v>
      </c>
      <c r="H51" s="90" t="s"/>
      <c r="I51" s="78" t="s"/>
      <c r="J51" s="79" t="s"/>
    </row>
    <row r="52" spans="1:13" s="142" customFormat="true" ht="14.1" customHeight="true">
      <c r="A52" s="55" t="s">
        <v>90</v>
      </c>
      <c r="B52" s="55" t="s">
        <v>163</v>
      </c>
      <c r="C52" s="56" t="s"/>
      <c r="D52" s="56" t="s"/>
      <c r="E52" s="56" t="s"/>
      <c r="F52" s="56" t="s"/>
      <c r="G52" s="56">
        <f>=还本付息表!D7</f>
        <v>40.32</v>
      </c>
      <c r="H52" s="57">
        <f>=G52/G54</f>
        <v>0.00986906722088</v>
      </c>
      <c r="I52" s="58" t="s"/>
      <c r="J52" s="59" t="s"/>
      <c r="L52" s="61" t="s"/>
      <c r="M52" s="61" t="s"/>
    </row>
    <row r="53" spans="1:13" s="142" customFormat="true" ht="14.1" customHeight="true">
      <c r="A53" s="55" t="s">
        <v>164</v>
      </c>
      <c r="B53" s="55" t="s">
        <v>165</v>
      </c>
      <c r="C53" s="56" t="s"/>
      <c r="D53" s="56" t="s"/>
      <c r="E53" s="56" t="s"/>
      <c r="F53" s="56" t="s"/>
      <c r="G53" s="56">
        <f>=G50+G52</f>
        <v>4085.49248856</v>
      </c>
      <c r="H53" s="57">
        <f>=G53/G54</f>
        <v>1</v>
      </c>
      <c r="I53" s="58" t="s"/>
      <c r="J53" s="59" t="s"/>
      <c r="L53" s="61" t="s"/>
      <c r="M53" s="61" t="s"/>
    </row>
    <row r="54" spans="1:13" s="142" customFormat="true" ht="14.1" customHeight="true">
      <c r="A54" s="55" t="s">
        <v>166</v>
      </c>
      <c r="B54" s="55" t="s">
        <v>167</v>
      </c>
      <c r="C54" s="56" t="s"/>
      <c r="D54" s="56" t="s"/>
      <c r="E54" s="56" t="s"/>
      <c r="F54" s="56" t="s"/>
      <c r="G54" s="56">
        <f>=G53</f>
        <v>4085.49248856</v>
      </c>
      <c r="H54" s="57">
        <v>1</v>
      </c>
      <c r="I54" s="58" t="s"/>
      <c r="J54" s="59" t="s"/>
      <c r="L54" s="61" t="s"/>
      <c r="M54" s="61" t="s"/>
    </row>
    <row r="55" spans="1:13" s="143" customFormat="true">
      <c r="A55" s="91" t="s"/>
      <c r="B55" s="91" t="s"/>
      <c r="C55" s="91" t="s"/>
      <c r="D55" s="91" t="s"/>
      <c r="E55" s="91" t="s"/>
      <c r="F55" s="91" t="s"/>
      <c r="G55" s="92" t="s"/>
      <c r="H55" s="6" t="s"/>
      <c r="I55" s="91" t="s"/>
      <c r="J55" s="93" t="s"/>
      <c r="L55" s="60" t="s"/>
      <c r="M55" s="60" t="s"/>
    </row>
    <row r="56" spans="7:7">
      <c r="G56" s="91">
        <f>=G54*0.8</f>
        <v>3268.393990848</v>
      </c>
    </row>
    <row r="57" spans="7:7">
      <c r="G57" s="94" t="s"/>
    </row>
  </sheetData>
  <mergeCells count="22">
    <mergeCell ref="A1:J1"/>
    <mergeCell ref="A2:J2"/>
    <mergeCell ref="H4:J4"/>
    <mergeCell ref="H5:J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7:J47"/>
    <mergeCell ref="H48:J48"/>
    <mergeCell ref="H49:J49"/>
    <mergeCell ref="H50:J50"/>
    <mergeCell ref="H51:J51"/>
    <mergeCell ref="H52:J52"/>
    <mergeCell ref="H53:J53"/>
    <mergeCell ref="H54:J5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>
  <sheetPr/>
  <dimension ref="Q13"/>
  <sheetViews>
    <sheetView showGridLines="true" zoomScale="120" zoomScaleNormal="120" workbookViewId="0"/>
  </sheetViews>
  <sheetFormatPr defaultColWidth="9" defaultRowHeight="14.4"/>
  <cols>
    <col min="1" max="1" width="4.5" customWidth="true"/>
    <col min="2" max="2" width="11.8519" customWidth="true"/>
    <col min="3" max="3" width="6.5" customWidth="true"/>
    <col min="4" max="5" width="6.59259" customWidth="true"/>
    <col min="6" max="6" width="8.7037" customWidth="true"/>
    <col min="7" max="15" width="8.12037" style="147" customWidth="true"/>
  </cols>
  <sheetData>
    <row r="1" spans="1:15" ht="17.4">
      <c r="A1" s="4" t="s">
        <v>1</v>
      </c>
      <c r="B1" s="5" t="s"/>
      <c r="C1" s="5" t="s"/>
      <c r="D1" s="5" t="s"/>
      <c r="E1" s="5" t="s"/>
      <c r="F1" s="5" t="s"/>
      <c r="G1" s="6" t="s"/>
      <c r="H1" s="6" t="s"/>
      <c r="I1" s="6" t="s"/>
      <c r="J1" s="6" t="s"/>
      <c r="K1" s="6" t="s"/>
      <c r="L1" s="6" t="s"/>
      <c r="M1" s="6" t="s"/>
      <c r="N1" s="6" t="s"/>
      <c r="O1" s="6" t="s"/>
    </row>
    <row r="2" spans="7:15">
      <c r="G2" s="7" t="s"/>
      <c r="H2" s="7" t="s"/>
      <c r="I2" s="7" t="s"/>
      <c r="J2" s="7" t="s"/>
      <c r="K2" s="7" t="s"/>
      <c r="L2" s="7" t="s"/>
      <c r="M2" s="7" t="s"/>
      <c r="N2" s="7" t="s">
        <v>2</v>
      </c>
      <c r="O2" s="7" t="s"/>
    </row>
    <row r="3" spans="1:17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9" t="s"/>
      <c r="H3" s="9" t="s"/>
      <c r="I3" s="9" t="s"/>
      <c r="J3" s="9" t="s"/>
      <c r="K3" s="9" t="s"/>
      <c r="L3" s="9" t="s"/>
      <c r="M3" s="9" t="s"/>
      <c r="N3" s="9" t="s"/>
      <c r="O3" s="9" t="s"/>
      <c r="P3" s="9" t="s"/>
      <c r="Q3" s="9" t="s"/>
    </row>
    <row r="4" spans="1:17">
      <c r="A4" s="10" t="s"/>
      <c r="B4" s="10" t="s"/>
      <c r="C4" s="10" t="s"/>
      <c r="D4" s="10" t="s"/>
      <c r="E4" s="10" t="s"/>
      <c r="F4" s="11">
        <v>0.5</v>
      </c>
      <c r="G4" s="12">
        <v>2</v>
      </c>
      <c r="H4" s="12">
        <v>3</v>
      </c>
      <c r="I4" s="12">
        <v>4</v>
      </c>
      <c r="J4" s="12">
        <v>5</v>
      </c>
      <c r="K4" s="12">
        <v>6</v>
      </c>
      <c r="L4" s="12">
        <v>7</v>
      </c>
      <c r="M4" s="12">
        <v>8</v>
      </c>
      <c r="N4" s="12">
        <v>9</v>
      </c>
      <c r="O4" s="12">
        <v>10</v>
      </c>
      <c r="P4" s="12">
        <v>11</v>
      </c>
      <c r="Q4" s="12">
        <v>12</v>
      </c>
    </row>
    <row r="5" spans="1:17" ht="19.2">
      <c r="A5" s="13">
        <v>1</v>
      </c>
      <c r="B5" s="13" t="s">
        <v>9</v>
      </c>
      <c r="C5" s="14" t="s"/>
      <c r="D5" s="15">
        <v>0.05</v>
      </c>
      <c r="E5" s="16">
        <v>20</v>
      </c>
      <c r="F5" s="16" t="s"/>
      <c r="G5" s="17" t="s"/>
      <c r="H5" s="17" t="s"/>
      <c r="I5" s="17" t="s"/>
      <c r="J5" s="17" t="s"/>
      <c r="K5" s="17" t="s"/>
      <c r="L5" s="17" t="s"/>
      <c r="M5" s="17" t="s"/>
      <c r="N5" s="17" t="s"/>
      <c r="O5" s="18" t="s"/>
      <c r="P5" s="18" t="s"/>
      <c r="Q5" s="18" t="s"/>
    </row>
    <row r="6" spans="1:17">
      <c r="A6" s="13">
        <v>1.1</v>
      </c>
      <c r="B6" s="13" t="s">
        <v>10</v>
      </c>
      <c r="C6" s="14" t="s"/>
      <c r="D6" s="14" t="s"/>
      <c r="E6" s="14" t="s"/>
      <c r="F6" s="17">
        <f>=总投资!G50*0.91</f>
        <v>3681.1069645896</v>
      </c>
      <c r="G6" s="17">
        <f>=F8</f>
        <v>3593.6806741806</v>
      </c>
      <c r="H6" s="17">
        <f>=G8</f>
        <v>3418.82809336259</v>
      </c>
      <c r="I6" s="17">
        <f>=H8</f>
        <v>3243.97551254459</v>
      </c>
      <c r="J6" s="17">
        <f>=I8</f>
        <v>3069.12293172658</v>
      </c>
      <c r="K6" s="17">
        <f>=J8</f>
        <v>2894.27035090857</v>
      </c>
      <c r="L6" s="17">
        <f>=K8</f>
        <v>2719.41777009057</v>
      </c>
      <c r="M6" s="17">
        <f>=L8</f>
        <v>2544.56518927256</v>
      </c>
      <c r="N6" s="17">
        <f>=M8</f>
        <v>2369.71260845456</v>
      </c>
      <c r="O6" s="17">
        <f>=N8</f>
        <v>2194.86002763655</v>
      </c>
      <c r="P6" s="17">
        <f>=O8</f>
        <v>2020.00744681854</v>
      </c>
      <c r="Q6" s="17">
        <f>=P8</f>
        <v>1845.15486600054</v>
      </c>
    </row>
    <row r="7" spans="1:17" ht="16.9" customHeight="true">
      <c r="A7" s="13">
        <v>1.2</v>
      </c>
      <c r="B7" s="13" t="s">
        <v>11</v>
      </c>
      <c r="C7" s="14">
        <f>=SUM(F7:Q7)</f>
        <v>2010.80467940707</v>
      </c>
      <c r="D7" s="14" t="s"/>
      <c r="E7" s="14" t="s"/>
      <c r="F7" s="17">
        <f>=F6*0.95*0.5/20</f>
        <v>87.426290409003</v>
      </c>
      <c r="G7" s="17">
        <f>=F6*0.95/20</f>
        <v>174.852580818006</v>
      </c>
      <c r="H7" s="17">
        <f>=G7</f>
        <v>174.852580818006</v>
      </c>
      <c r="I7" s="17">
        <f>=H7</f>
        <v>174.852580818006</v>
      </c>
      <c r="J7" s="17">
        <f>=I7</f>
        <v>174.852580818006</v>
      </c>
      <c r="K7" s="17">
        <f>=J7</f>
        <v>174.852580818006</v>
      </c>
      <c r="L7" s="17">
        <f>=K7</f>
        <v>174.852580818006</v>
      </c>
      <c r="M7" s="17">
        <f>=L7</f>
        <v>174.852580818006</v>
      </c>
      <c r="N7" s="17">
        <f>=M7</f>
        <v>174.852580818006</v>
      </c>
      <c r="O7" s="17">
        <f>=N7</f>
        <v>174.852580818006</v>
      </c>
      <c r="P7" s="17">
        <f>=O7</f>
        <v>174.852580818006</v>
      </c>
      <c r="Q7" s="17">
        <f>=P7</f>
        <v>174.852580818006</v>
      </c>
    </row>
    <row r="8" spans="1:17">
      <c r="A8" s="13">
        <v>1.3</v>
      </c>
      <c r="B8" s="13" t="s">
        <v>12</v>
      </c>
      <c r="C8" s="14" t="s"/>
      <c r="D8" s="14" t="s"/>
      <c r="E8" s="14" t="s"/>
      <c r="F8" s="17">
        <f>=F6-F7</f>
        <v>3593.6806741806</v>
      </c>
      <c r="G8" s="17">
        <f>=G6-G7</f>
        <v>3418.82809336259</v>
      </c>
      <c r="H8" s="17">
        <f>=H6-H7</f>
        <v>3243.97551254459</v>
      </c>
      <c r="I8" s="17">
        <f>=I6-I7</f>
        <v>3069.12293172658</v>
      </c>
      <c r="J8" s="17">
        <f>=J6-J7</f>
        <v>2894.27035090857</v>
      </c>
      <c r="K8" s="17">
        <f>=K6-K7</f>
        <v>2719.41777009057</v>
      </c>
      <c r="L8" s="17">
        <f>=L6-L7</f>
        <v>2544.56518927256</v>
      </c>
      <c r="M8" s="17">
        <f>=M6-M7</f>
        <v>2369.71260845456</v>
      </c>
      <c r="N8" s="17">
        <f>=N6-N7</f>
        <v>2194.86002763655</v>
      </c>
      <c r="O8" s="17">
        <f>=O6-O7</f>
        <v>2020.00744681854</v>
      </c>
      <c r="P8" s="17">
        <f>=P6-P7</f>
        <v>1845.15486600054</v>
      </c>
      <c r="Q8" s="17">
        <f>=Q6-Q7</f>
        <v>1670.30228518253</v>
      </c>
    </row>
    <row r="9" spans="1:17">
      <c r="A9" s="13">
        <v>2</v>
      </c>
      <c r="B9" s="13" t="s">
        <v>13</v>
      </c>
      <c r="C9" s="14">
        <f>=SUM(F9:Q9)</f>
        <v>2010.80467940707</v>
      </c>
      <c r="D9" s="14" t="s"/>
      <c r="E9" s="14" t="s"/>
      <c r="F9" s="17">
        <f>=F7</f>
        <v>87.426290409003</v>
      </c>
      <c r="G9" s="17">
        <f>=G7</f>
        <v>174.852580818006</v>
      </c>
      <c r="H9" s="17">
        <f>=H7</f>
        <v>174.852580818006</v>
      </c>
      <c r="I9" s="17">
        <f>=I7</f>
        <v>174.852580818006</v>
      </c>
      <c r="J9" s="17">
        <f>=J7</f>
        <v>174.852580818006</v>
      </c>
      <c r="K9" s="17">
        <f>=K7</f>
        <v>174.852580818006</v>
      </c>
      <c r="L9" s="17">
        <f>=L7</f>
        <v>174.852580818006</v>
      </c>
      <c r="M9" s="17">
        <f>=M7</f>
        <v>174.852580818006</v>
      </c>
      <c r="N9" s="17">
        <f>=N7</f>
        <v>174.852580818006</v>
      </c>
      <c r="O9" s="17">
        <f>=O7</f>
        <v>174.852580818006</v>
      </c>
      <c r="P9" s="17">
        <f>=P7</f>
        <v>174.852580818006</v>
      </c>
      <c r="Q9" s="17">
        <f>=Q7</f>
        <v>174.852580818006</v>
      </c>
    </row>
    <row r="10" spans="1:17">
      <c r="A10" s="13">
        <v>3</v>
      </c>
      <c r="B10" s="13" t="s">
        <v>14</v>
      </c>
      <c r="C10" s="14" t="s"/>
      <c r="D10" s="14" t="s"/>
      <c r="E10" s="14" t="s"/>
      <c r="F10" s="14" t="s"/>
      <c r="G10" s="17" t="s"/>
      <c r="H10" s="17" t="s"/>
      <c r="I10" s="17" t="s"/>
      <c r="J10" s="17" t="s"/>
      <c r="K10" s="17" t="s"/>
      <c r="L10" s="17" t="s"/>
      <c r="M10" s="17" t="s"/>
      <c r="N10" s="17" t="s"/>
      <c r="O10" s="18" t="s"/>
      <c r="P10" s="18" t="s"/>
      <c r="Q10" s="18" t="s"/>
    </row>
    <row r="11" spans="1:17">
      <c r="A11" s="13">
        <v>3.1</v>
      </c>
      <c r="B11" s="13" t="s">
        <v>10</v>
      </c>
      <c r="C11" s="14" t="s"/>
      <c r="D11" s="14" t="s"/>
      <c r="E11" s="14" t="s"/>
      <c r="F11" s="14" t="s"/>
      <c r="G11" s="17" t="s"/>
      <c r="H11" s="17" t="s"/>
      <c r="I11" s="17" t="s"/>
      <c r="J11" s="17" t="s"/>
      <c r="K11" s="17" t="s"/>
      <c r="L11" s="17" t="s"/>
      <c r="M11" s="17" t="s"/>
      <c r="N11" s="17" t="s"/>
      <c r="O11" s="18" t="s"/>
      <c r="P11" s="18" t="s"/>
      <c r="Q11" s="18" t="s"/>
    </row>
    <row r="12" spans="1:17">
      <c r="A12" s="13">
        <v>3.2</v>
      </c>
      <c r="B12" s="13" t="s">
        <v>11</v>
      </c>
      <c r="C12" s="14" t="s"/>
      <c r="D12" s="14" t="s"/>
      <c r="E12" s="14" t="s"/>
      <c r="F12" s="14" t="s"/>
      <c r="G12" s="17" t="s"/>
      <c r="H12" s="17" t="s"/>
      <c r="I12" s="17" t="s"/>
      <c r="J12" s="17" t="s"/>
      <c r="K12" s="17" t="s"/>
      <c r="L12" s="17" t="s"/>
      <c r="M12" s="17" t="s"/>
      <c r="N12" s="17" t="s"/>
      <c r="O12" s="18" t="s"/>
      <c r="P12" s="18" t="s"/>
      <c r="Q12" s="18" t="s"/>
    </row>
    <row r="13" spans="1:17">
      <c r="A13" s="13">
        <v>3.3</v>
      </c>
      <c r="B13" s="13" t="s">
        <v>12</v>
      </c>
      <c r="C13" s="14" t="s"/>
      <c r="D13" s="14" t="s"/>
      <c r="E13" s="14" t="s"/>
      <c r="F13" s="14" t="s"/>
      <c r="G13" s="17" t="s"/>
      <c r="H13" s="17" t="s"/>
      <c r="I13" s="17" t="s"/>
      <c r="J13" s="17" t="s"/>
      <c r="K13" s="17" t="s"/>
      <c r="L13" s="17" t="s"/>
      <c r="M13" s="17" t="s"/>
      <c r="N13" s="17" t="s"/>
      <c r="O13" s="18" t="s"/>
      <c r="P13" s="18" t="s"/>
      <c r="Q13" s="18" t="s"/>
    </row>
  </sheetData>
  <mergeCells count="7">
    <mergeCell ref="A1:O1"/>
    <mergeCell ref="F3:Q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>
  <sheetPr/>
  <dimension ref="O29"/>
  <sheetViews>
    <sheetView showGridLines="true" zoomScale="110" zoomScaleNormal="110" workbookViewId="0"/>
  </sheetViews>
  <sheetFormatPr defaultColWidth="9" defaultRowHeight="14.4"/>
  <cols>
    <col min="1" max="1" width="5.25" style="144" customWidth="true"/>
    <col min="2" max="2" width="16.1296" style="144" customWidth="true"/>
    <col min="3" max="4" width="8.25" style="151" customWidth="true"/>
    <col min="5" max="9" width="9.85185" customWidth="true"/>
    <col min="10" max="10" width="9.85185" style="143" customWidth="true"/>
    <col min="11" max="12" width="9.85185" customWidth="true"/>
    <col min="13" max="13" width="8.12037" customWidth="true"/>
  </cols>
  <sheetData>
    <row r="1" spans="1:12" ht="17.45" customHeight="true">
      <c r="A1" s="4" t="s">
        <v>180</v>
      </c>
      <c r="B1" s="4" t="s"/>
      <c r="C1" s="95" t="s"/>
      <c r="D1" s="95" t="s"/>
      <c r="E1" s="4" t="s"/>
      <c r="F1" s="4" t="s"/>
      <c r="G1" s="4" t="s"/>
      <c r="H1" s="4" t="s"/>
      <c r="I1" s="4" t="s"/>
      <c r="J1" s="35" t="s"/>
      <c r="K1" s="4" t="s"/>
      <c r="L1" s="4" t="s"/>
    </row>
    <row r="2" spans="2:12">
      <c r="B2" s="91">
        <f>=E7*E9*E10</f>
        <v>3526858.692</v>
      </c>
      <c r="L2" t="s">
        <v>2</v>
      </c>
    </row>
    <row r="3" spans="1:15" ht="16.15" customHeight="true">
      <c r="A3" s="21" t="s">
        <v>3</v>
      </c>
      <c r="B3" s="110" t="s">
        <v>4</v>
      </c>
      <c r="C3" s="111" t="s">
        <v>5</v>
      </c>
      <c r="D3" s="21" t="s">
        <v>8</v>
      </c>
      <c r="E3" s="21" t="s"/>
      <c r="F3" s="21" t="s"/>
      <c r="G3" s="21" t="s"/>
      <c r="H3" s="21" t="s"/>
      <c r="I3" s="21" t="s"/>
      <c r="J3" s="21" t="s"/>
      <c r="K3" s="21" t="s"/>
      <c r="L3" s="21" t="s"/>
      <c r="M3" s="21" t="s"/>
      <c r="N3" s="21" t="s"/>
      <c r="O3" s="21" t="s"/>
    </row>
    <row r="4" spans="1:15">
      <c r="A4" s="21" t="s"/>
      <c r="B4" s="112" t="s"/>
      <c r="C4" s="113" t="s"/>
      <c r="D4" s="114">
        <v>0.5</v>
      </c>
      <c r="E4" s="114">
        <v>2</v>
      </c>
      <c r="F4" s="114">
        <v>3</v>
      </c>
      <c r="G4" s="114">
        <v>4</v>
      </c>
      <c r="H4" s="114">
        <v>5</v>
      </c>
      <c r="I4" s="114">
        <v>6</v>
      </c>
      <c r="J4" s="114">
        <v>7</v>
      </c>
      <c r="K4" s="114">
        <v>8</v>
      </c>
      <c r="L4" s="114">
        <v>9</v>
      </c>
      <c r="M4" s="114">
        <v>10</v>
      </c>
      <c r="N4" s="114">
        <v>11</v>
      </c>
      <c r="O4" s="114">
        <v>12</v>
      </c>
    </row>
    <row r="5" spans="1:15" s="142" customFormat="true" ht="17" customHeight="true">
      <c r="A5" s="114">
        <v>1</v>
      </c>
      <c r="B5" s="21" t="s">
        <v>30</v>
      </c>
      <c r="C5" s="115">
        <f>=SUM((E5:O5))</f>
        <v>6439.39434447465</v>
      </c>
      <c r="D5" s="116">
        <f>=D6+D12+D15</f>
        <v>291.9202848</v>
      </c>
      <c r="E5" s="116">
        <f>=E6+E12+E15</f>
        <v>584.813686752</v>
      </c>
      <c r="F5" s="116">
        <f>=F6+F12+F15</f>
        <v>585.79176631824</v>
      </c>
      <c r="G5" s="116">
        <f>=G6+G12+G15</f>
        <v>586.774783486649</v>
      </c>
      <c r="H5" s="116">
        <f>=H6+H12+H15</f>
        <v>587.762713569216</v>
      </c>
      <c r="I5" s="116">
        <f>=I6+I12+I15</f>
        <v>587.77273200137</v>
      </c>
      <c r="J5" s="116">
        <f>=J6+J12+J15</f>
        <v>586.804814341363</v>
      </c>
      <c r="K5" s="116">
        <f>=K6+K12+K15</f>
        <v>585.841736269656</v>
      </c>
      <c r="L5" s="116">
        <f>=L6+L12+L15</f>
        <v>584.883473588308</v>
      </c>
      <c r="M5" s="116">
        <f>=M6+M12+M15</f>
        <v>583.930002220366</v>
      </c>
      <c r="N5" s="116">
        <f>=N6+N12+N15</f>
        <v>582.981298209264</v>
      </c>
      <c r="O5" s="116">
        <f>=O6+O12+O15</f>
        <v>582.037337718218</v>
      </c>
    </row>
    <row r="6" spans="1:15" s="142" customFormat="true" ht="11" customHeight="true">
      <c r="A6" s="117">
        <v>1.1</v>
      </c>
      <c r="B6" s="63" t="s">
        <v>181</v>
      </c>
      <c r="C6" s="118">
        <f>=SUM(D6:O6)</f>
        <v>2218.28622927465</v>
      </c>
      <c r="D6" s="116">
        <f>=(D7*D9*D10)*D11/10000</f>
        <v>99.2482848</v>
      </c>
      <c r="E6" s="116">
        <f>=(E7*E9*E10)*E11/10000</f>
        <v>197.504086752</v>
      </c>
      <c r="F6" s="116">
        <f>=(F7*F9*F10)*F11/10000</f>
        <v>196.51656631824</v>
      </c>
      <c r="G6" s="116">
        <f>=(G7*G9*G10)*G11/10000</f>
        <v>195.533983486649</v>
      </c>
      <c r="H6" s="116">
        <f>=(H7*H9*H10)*H11/10000</f>
        <v>194.556313569216</v>
      </c>
      <c r="I6" s="116">
        <f>=(I7*I9*I10)*I11/10000</f>
        <v>193.58353200137</v>
      </c>
      <c r="J6" s="116">
        <f>=(J7*J9*J10)*J11/10000</f>
        <v>192.615614341363</v>
      </c>
      <c r="K6" s="116">
        <f>=(K7*K9*K10)*K11/10000</f>
        <v>191.652536269656</v>
      </c>
      <c r="L6" s="116">
        <f>=(L7*L9*L10)*L11/10000</f>
        <v>190.694273588308</v>
      </c>
      <c r="M6" s="116">
        <f>=(M7*M9*M10)*M11/10000</f>
        <v>189.740802220366</v>
      </c>
      <c r="N6" s="116">
        <f>=(N7*N9*N10)*N11/10000</f>
        <v>188.792098209264</v>
      </c>
      <c r="O6" s="116">
        <f>=(O7*O9*O10)*O11/10000</f>
        <v>187.848137718218</v>
      </c>
    </row>
    <row r="7" spans="1:15" customFormat="true" ht="12" customHeight="true">
      <c r="A7" s="30" t="s">
        <v>56</v>
      </c>
      <c r="B7" s="68" t="s">
        <v>182</v>
      </c>
      <c r="C7" s="15" t="s"/>
      <c r="D7" s="104">
        <f>=3000*(1-D8)</f>
        <v>2940</v>
      </c>
      <c r="E7" s="104">
        <f>=D7*(1-E8)</f>
        <v>2925.3</v>
      </c>
      <c r="F7" s="104">
        <f>=E7*(1-F8)</f>
        <v>2910.6735</v>
      </c>
      <c r="G7" s="104">
        <f>=F7*(1-G8)</f>
        <v>2896.1201325</v>
      </c>
      <c r="H7" s="104">
        <f>=G7*(1-H8)</f>
        <v>2881.6395318375</v>
      </c>
      <c r="I7" s="104">
        <f>=H7*(1-I8)</f>
        <v>2867.23133417831</v>
      </c>
      <c r="J7" s="104">
        <f>=I7*(1-J8)</f>
        <v>2852.89517750742</v>
      </c>
      <c r="K7" s="104">
        <f>=J7*(1-K8)</f>
        <v>2838.63070161988</v>
      </c>
      <c r="L7" s="104">
        <f>=K7*(1-L8)</f>
        <v>2824.43754811179</v>
      </c>
      <c r="M7" s="104">
        <f>=L7*(1-M8)</f>
        <v>2810.31536037123</v>
      </c>
      <c r="N7" s="104">
        <f>=M7*(1-N8)</f>
        <v>2796.26378356937</v>
      </c>
      <c r="O7" s="104">
        <f>=N7*(1-O8)</f>
        <v>2782.28246465152</v>
      </c>
    </row>
    <row r="8" spans="1:15" s="148" customFormat="true" ht="12" customHeight="true">
      <c r="A8" s="30" t="s">
        <v>57</v>
      </c>
      <c r="B8" s="119" t="s">
        <v>183</v>
      </c>
      <c r="C8" s="120" t="s"/>
      <c r="D8" s="121">
        <v>0.02</v>
      </c>
      <c r="E8" s="122">
        <v>0.005</v>
      </c>
      <c r="F8" s="121">
        <v>0.005</v>
      </c>
      <c r="G8" s="121">
        <f>=F8</f>
        <v>0.005</v>
      </c>
      <c r="H8" s="121">
        <v>0.005</v>
      </c>
      <c r="I8" s="121">
        <v>0.005</v>
      </c>
      <c r="J8" s="121">
        <v>0.005</v>
      </c>
      <c r="K8" s="121">
        <v>0.005</v>
      </c>
      <c r="L8" s="121">
        <v>0.005</v>
      </c>
      <c r="M8" s="121">
        <f>=L8</f>
        <v>0.005</v>
      </c>
      <c r="N8" s="121">
        <f>=M8</f>
        <v>0.005</v>
      </c>
      <c r="O8" s="121">
        <f>=N8</f>
        <v>0.005</v>
      </c>
    </row>
    <row r="9" spans="1:15" customFormat="true" ht="12" customHeight="true">
      <c r="A9" s="30" t="s">
        <v>58</v>
      </c>
      <c r="B9" s="68" t="s">
        <v>184</v>
      </c>
      <c r="C9" s="15" t="s"/>
      <c r="D9" s="104">
        <v>3.349</v>
      </c>
      <c r="E9" s="104">
        <f>=D9</f>
        <v>3.349</v>
      </c>
      <c r="F9" s="104">
        <f>=E9</f>
        <v>3.349</v>
      </c>
      <c r="G9" s="104">
        <f>=F9</f>
        <v>3.349</v>
      </c>
      <c r="H9" s="104">
        <f>=G9</f>
        <v>3.349</v>
      </c>
      <c r="I9" s="104">
        <f>=H9</f>
        <v>3.349</v>
      </c>
      <c r="J9" s="104">
        <f>=I9</f>
        <v>3.349</v>
      </c>
      <c r="K9" s="104">
        <f>=J9</f>
        <v>3.349</v>
      </c>
      <c r="L9" s="104">
        <f>=K9</f>
        <v>3.349</v>
      </c>
      <c r="M9" s="104">
        <f>=L9</f>
        <v>3.349</v>
      </c>
      <c r="N9" s="104">
        <f>=M9</f>
        <v>3.349</v>
      </c>
      <c r="O9" s="104">
        <f>=N9</f>
        <v>3.349</v>
      </c>
    </row>
    <row r="10" spans="1:15" customFormat="true" ht="12" customHeight="true">
      <c r="A10" s="30" t="s">
        <v>185</v>
      </c>
      <c r="B10" s="68" t="s">
        <v>186</v>
      </c>
      <c r="C10" s="15" t="s"/>
      <c r="D10" s="104">
        <v>180</v>
      </c>
      <c r="E10" s="123">
        <v>360</v>
      </c>
      <c r="F10" s="104">
        <f>=E10</f>
        <v>360</v>
      </c>
      <c r="G10" s="104">
        <f>=F10</f>
        <v>360</v>
      </c>
      <c r="H10" s="104">
        <f>=G10</f>
        <v>360</v>
      </c>
      <c r="I10" s="104">
        <f>=H10</f>
        <v>360</v>
      </c>
      <c r="J10" s="104">
        <f>=I10</f>
        <v>360</v>
      </c>
      <c r="K10" s="104">
        <f>=J10</f>
        <v>360</v>
      </c>
      <c r="L10" s="104">
        <f>=K10</f>
        <v>360</v>
      </c>
      <c r="M10" s="104">
        <f>=L10</f>
        <v>360</v>
      </c>
      <c r="N10" s="104">
        <f>=M10</f>
        <v>360</v>
      </c>
      <c r="O10" s="104">
        <f>=N10</f>
        <v>360</v>
      </c>
    </row>
    <row r="11" spans="1:15" customFormat="true" ht="12" customHeight="true">
      <c r="A11" s="30" t="s">
        <v>187</v>
      </c>
      <c r="B11" s="68" t="s">
        <v>188</v>
      </c>
      <c r="C11" s="15" t="s"/>
      <c r="D11" s="104">
        <v>0.56</v>
      </c>
      <c r="E11" s="123">
        <f>=D11</f>
        <v>0.56</v>
      </c>
      <c r="F11" s="123">
        <f>=E11</f>
        <v>0.56</v>
      </c>
      <c r="G11" s="123">
        <f>=F11</f>
        <v>0.56</v>
      </c>
      <c r="H11" s="123">
        <f>=G11</f>
        <v>0.56</v>
      </c>
      <c r="I11" s="123">
        <f>=H11</f>
        <v>0.56</v>
      </c>
      <c r="J11" s="123">
        <f>=I11</f>
        <v>0.56</v>
      </c>
      <c r="K11" s="123">
        <f>=J11</f>
        <v>0.56</v>
      </c>
      <c r="L11" s="123">
        <f>=K11</f>
        <v>0.56</v>
      </c>
      <c r="M11" s="123">
        <f>=L11</f>
        <v>0.56</v>
      </c>
      <c r="N11" s="123">
        <f>=M11</f>
        <v>0.56</v>
      </c>
      <c r="O11" s="123">
        <f>=N11</f>
        <v>0.56</v>
      </c>
    </row>
    <row r="12" spans="1:15" s="142" customFormat="true" ht="16" customHeight="true">
      <c r="A12" s="117">
        <v>1.2</v>
      </c>
      <c r="B12" s="21" t="s">
        <v>189</v>
      </c>
      <c r="C12" s="118">
        <f>=SUM((D12:O12))</f>
        <v>4318.434</v>
      </c>
      <c r="D12" s="116">
        <f>=(D13*D14)*180/10000</f>
        <v>187.758</v>
      </c>
      <c r="E12" s="116">
        <f>=(E13*E14)*360/10000</f>
        <v>375.516</v>
      </c>
      <c r="F12" s="116">
        <f>=(F13*F14)*360/10000</f>
        <v>375.516</v>
      </c>
      <c r="G12" s="116">
        <f>=(G13*G14)*360/10000</f>
        <v>375.516</v>
      </c>
      <c r="H12" s="116">
        <f>=(H13*H14)*360/10000</f>
        <v>375.516</v>
      </c>
      <c r="I12" s="116">
        <f>=(I13*I14)*360/10000</f>
        <v>375.516</v>
      </c>
      <c r="J12" s="116">
        <f>=(J13*J14)*360/10000</f>
        <v>375.516</v>
      </c>
      <c r="K12" s="116">
        <f>=(K13*K14)*360/10000</f>
        <v>375.516</v>
      </c>
      <c r="L12" s="116">
        <f>=(L13*L14)*360/10000</f>
        <v>375.516</v>
      </c>
      <c r="M12" s="116">
        <f>=(M13*M14)*360/10000</f>
        <v>375.516</v>
      </c>
      <c r="N12" s="116">
        <f>=(N13*N14)*360/10000</f>
        <v>375.516</v>
      </c>
      <c r="O12" s="116">
        <f>=(O13*O14)*360/10000</f>
        <v>375.516</v>
      </c>
    </row>
    <row r="13" spans="1:15" ht="12" customHeight="true">
      <c r="A13" s="118" t="s">
        <v>61</v>
      </c>
      <c r="B13" s="28" t="s">
        <v>190</v>
      </c>
      <c r="C13" s="15" t="s"/>
      <c r="D13" s="104">
        <v>0.61</v>
      </c>
      <c r="E13" s="28">
        <f>=D13</f>
        <v>0.61</v>
      </c>
      <c r="F13" s="28">
        <f>=E13</f>
        <v>0.61</v>
      </c>
      <c r="G13" s="28">
        <f>=F13</f>
        <v>0.61</v>
      </c>
      <c r="H13" s="28">
        <f>=G13</f>
        <v>0.61</v>
      </c>
      <c r="I13" s="28">
        <f>=H13</f>
        <v>0.61</v>
      </c>
      <c r="J13" s="26">
        <f>=I13</f>
        <v>0.61</v>
      </c>
      <c r="K13" s="28">
        <f>=J13</f>
        <v>0.61</v>
      </c>
      <c r="L13" s="28">
        <f>=K13</f>
        <v>0.61</v>
      </c>
      <c r="M13" s="28">
        <f>=L13</f>
        <v>0.61</v>
      </c>
      <c r="N13" s="28">
        <f>=M13</f>
        <v>0.61</v>
      </c>
      <c r="O13" s="28">
        <f>=N13</f>
        <v>0.61</v>
      </c>
    </row>
    <row r="14" spans="1:15" s="149" customFormat="true" ht="12" customHeight="true">
      <c r="A14" s="124" t="s">
        <v>63</v>
      </c>
      <c r="B14" s="125" t="s">
        <v>191</v>
      </c>
      <c r="C14" s="16" t="s"/>
      <c r="D14" s="104">
        <v>17100</v>
      </c>
      <c r="E14" s="125">
        <f>=D14</f>
        <v>17100</v>
      </c>
      <c r="F14" s="125">
        <f>=E14</f>
        <v>17100</v>
      </c>
      <c r="G14" s="125">
        <f>=F14</f>
        <v>17100</v>
      </c>
      <c r="H14" s="125">
        <f>=G14</f>
        <v>17100</v>
      </c>
      <c r="I14" s="125">
        <f>=H14</f>
        <v>17100</v>
      </c>
      <c r="J14" s="12">
        <f>=I14</f>
        <v>17100</v>
      </c>
      <c r="K14" s="12">
        <f>=J14</f>
        <v>17100</v>
      </c>
      <c r="L14" s="12">
        <f>=K14</f>
        <v>17100</v>
      </c>
      <c r="M14" s="12">
        <f>=L14</f>
        <v>17100</v>
      </c>
      <c r="N14" s="12">
        <f>=M14</f>
        <v>17100</v>
      </c>
      <c r="O14" s="12">
        <f>=N14</f>
        <v>17100</v>
      </c>
    </row>
    <row r="15" spans="1:15" s="142" customFormat="true" ht="18" customHeight="true">
      <c r="A15" s="114">
        <v>1.4</v>
      </c>
      <c r="B15" s="21" t="s">
        <v>192</v>
      </c>
      <c r="C15" s="118">
        <f>=SUM(D15:O16)</f>
        <v>242.5944</v>
      </c>
      <c r="D15" s="116">
        <f>=D16*D17*D18*D19*D20*D21/10000</f>
        <v>4.914</v>
      </c>
      <c r="E15" s="116">
        <f>=E16*E17*E18*E19*E20*E21/10000</f>
        <v>11.7936</v>
      </c>
      <c r="F15" s="116">
        <f>=F16*F17*F18*F19*F20*F21/10000</f>
        <v>13.7592</v>
      </c>
      <c r="G15" s="116">
        <f>=G16*G17*G18*G19*G20*G21/10000</f>
        <v>15.7248</v>
      </c>
      <c r="H15" s="116">
        <f>=H16*H17*H18*H19*H20*H21/10000</f>
        <v>17.6904</v>
      </c>
      <c r="I15" s="116">
        <f>=I16*I17*I18*I19*I20*I21/10000</f>
        <v>18.6732</v>
      </c>
      <c r="J15" s="116">
        <f>=J16*J17*J18*J19*J20*J21/10000</f>
        <v>18.6732</v>
      </c>
      <c r="K15" s="116">
        <f>=K16*K17*K18*K19*K20*K21/10000</f>
        <v>18.6732</v>
      </c>
      <c r="L15" s="116">
        <f>=L16*L17*L18*L19*L20*L21/10000</f>
        <v>18.6732</v>
      </c>
      <c r="M15" s="116">
        <f>=M16*M17*M18*M19*M20*M21/10000</f>
        <v>18.6732</v>
      </c>
      <c r="N15" s="116">
        <f>=N16*N17*N18*N19*N20*N21/10000</f>
        <v>18.6732</v>
      </c>
      <c r="O15" s="116">
        <f>=O16*O17*O18*O19*O20*O21/10000</f>
        <v>18.6732</v>
      </c>
    </row>
    <row r="16" spans="1:15" customFormat="true" ht="12" customHeight="true">
      <c r="A16" s="126" t="s">
        <v>193</v>
      </c>
      <c r="B16" s="125" t="s">
        <v>194</v>
      </c>
      <c r="C16" s="15" t="s"/>
      <c r="D16" s="104">
        <v>4</v>
      </c>
      <c r="E16" s="104">
        <f>=D16</f>
        <v>4</v>
      </c>
      <c r="F16" s="104">
        <f>=E16</f>
        <v>4</v>
      </c>
      <c r="G16" s="104">
        <f>=F16</f>
        <v>4</v>
      </c>
      <c r="H16" s="104">
        <f>=G16</f>
        <v>4</v>
      </c>
      <c r="I16" s="104">
        <f>=H16</f>
        <v>4</v>
      </c>
      <c r="J16" s="104">
        <f>=I16</f>
        <v>4</v>
      </c>
      <c r="K16" s="104">
        <f>=J16</f>
        <v>4</v>
      </c>
      <c r="L16" s="104">
        <f>=K16</f>
        <v>4</v>
      </c>
      <c r="M16" s="104">
        <f>=L16</f>
        <v>4</v>
      </c>
      <c r="N16" s="104">
        <f>=M16</f>
        <v>4</v>
      </c>
      <c r="O16" s="104">
        <f>=N16</f>
        <v>4</v>
      </c>
    </row>
    <row r="17" spans="1:15" s="150" customFormat="true" ht="12" customHeight="true">
      <c r="A17" s="127" t="s">
        <v>195</v>
      </c>
      <c r="B17" s="128" t="s">
        <v>196</v>
      </c>
      <c r="C17" s="129" t="s"/>
      <c r="D17" s="128">
        <v>0.5</v>
      </c>
      <c r="E17" s="128">
        <v>0.6</v>
      </c>
      <c r="F17" s="128">
        <v>0.7</v>
      </c>
      <c r="G17" s="128">
        <v>0.8</v>
      </c>
      <c r="H17" s="128">
        <v>0.9</v>
      </c>
      <c r="I17" s="128">
        <v>0.95</v>
      </c>
      <c r="J17" s="128">
        <v>0.95</v>
      </c>
      <c r="K17" s="128">
        <v>0.95</v>
      </c>
      <c r="L17" s="128">
        <v>0.95</v>
      </c>
      <c r="M17" s="104">
        <f>=L17</f>
        <v>0.95</v>
      </c>
      <c r="N17" s="104">
        <f>=M17</f>
        <v>0.95</v>
      </c>
      <c r="O17" s="104">
        <f>=N17</f>
        <v>0.95</v>
      </c>
    </row>
    <row r="18" spans="1:15" customFormat="true" ht="12" customHeight="true">
      <c r="A18" s="126" t="s">
        <v>197</v>
      </c>
      <c r="B18" s="125" t="s">
        <v>198</v>
      </c>
      <c r="C18" s="15" t="s"/>
      <c r="D18" s="104">
        <v>0.65</v>
      </c>
      <c r="E18" s="104">
        <f>=D18</f>
        <v>0.65</v>
      </c>
      <c r="F18" s="104">
        <f>=E18</f>
        <v>0.65</v>
      </c>
      <c r="G18" s="104">
        <f>=F18</f>
        <v>0.65</v>
      </c>
      <c r="H18" s="104">
        <f>=G18</f>
        <v>0.65</v>
      </c>
      <c r="I18" s="104">
        <f>=H18</f>
        <v>0.65</v>
      </c>
      <c r="J18" s="104">
        <f>=I18</f>
        <v>0.65</v>
      </c>
      <c r="K18" s="104">
        <f>=J18</f>
        <v>0.65</v>
      </c>
      <c r="L18" s="104">
        <f>=K18</f>
        <v>0.65</v>
      </c>
      <c r="M18" s="104">
        <f>=L18</f>
        <v>0.65</v>
      </c>
      <c r="N18" s="104">
        <f>=M18</f>
        <v>0.65</v>
      </c>
      <c r="O18" s="104">
        <f>=N18</f>
        <v>0.65</v>
      </c>
    </row>
    <row r="19" spans="1:15" customFormat="true" ht="12" customHeight="true">
      <c r="A19" s="126" t="s">
        <v>199</v>
      </c>
      <c r="B19" s="125" t="s">
        <v>200</v>
      </c>
      <c r="C19" s="15" t="s"/>
      <c r="D19" s="104">
        <v>60</v>
      </c>
      <c r="E19" s="104">
        <v>60</v>
      </c>
      <c r="F19" s="104">
        <v>60</v>
      </c>
      <c r="G19" s="104">
        <v>60</v>
      </c>
      <c r="H19" s="104">
        <v>60</v>
      </c>
      <c r="I19" s="104">
        <v>60</v>
      </c>
      <c r="J19" s="104">
        <v>60</v>
      </c>
      <c r="K19" s="104">
        <v>60</v>
      </c>
      <c r="L19" s="104">
        <v>60</v>
      </c>
      <c r="M19" s="104">
        <f>=L19</f>
        <v>60</v>
      </c>
      <c r="N19" s="104">
        <f>=M19</f>
        <v>60</v>
      </c>
      <c r="O19" s="104">
        <f>=N19</f>
        <v>60</v>
      </c>
    </row>
    <row r="20" spans="1:15" customFormat="true" ht="12" customHeight="true">
      <c r="A20" s="126" t="s">
        <v>201</v>
      </c>
      <c r="B20" s="125" t="s">
        <v>202</v>
      </c>
      <c r="C20" s="15" t="s"/>
      <c r="D20" s="104">
        <v>3.5</v>
      </c>
      <c r="E20" s="104">
        <f>=D20</f>
        <v>3.5</v>
      </c>
      <c r="F20" s="104">
        <f>=E20</f>
        <v>3.5</v>
      </c>
      <c r="G20" s="104">
        <f>=F20</f>
        <v>3.5</v>
      </c>
      <c r="H20" s="104">
        <f>=G20</f>
        <v>3.5</v>
      </c>
      <c r="I20" s="104">
        <f>=H20</f>
        <v>3.5</v>
      </c>
      <c r="J20" s="104">
        <f>=I20</f>
        <v>3.5</v>
      </c>
      <c r="K20" s="104">
        <f>=J20</f>
        <v>3.5</v>
      </c>
      <c r="L20" s="104">
        <f>=K20</f>
        <v>3.5</v>
      </c>
      <c r="M20" s="104">
        <f>=L20</f>
        <v>3.5</v>
      </c>
      <c r="N20" s="104">
        <f>=M20</f>
        <v>3.5</v>
      </c>
      <c r="O20" s="104">
        <f>=N20</f>
        <v>3.5</v>
      </c>
    </row>
    <row r="21" spans="1:15" customFormat="true" ht="12" customHeight="true">
      <c r="A21" s="126" t="s">
        <v>203</v>
      </c>
      <c r="B21" s="125" t="s">
        <v>204</v>
      </c>
      <c r="C21" s="15" t="s"/>
      <c r="D21" s="104">
        <v>180</v>
      </c>
      <c r="E21" s="104">
        <v>360</v>
      </c>
      <c r="F21" s="104">
        <f>=E21</f>
        <v>360</v>
      </c>
      <c r="G21" s="104">
        <f>=F21</f>
        <v>360</v>
      </c>
      <c r="H21" s="104">
        <f>=G21</f>
        <v>360</v>
      </c>
      <c r="I21" s="104">
        <f>=H21</f>
        <v>360</v>
      </c>
      <c r="J21" s="104">
        <f>=I21</f>
        <v>360</v>
      </c>
      <c r="K21" s="104">
        <f>=J21</f>
        <v>360</v>
      </c>
      <c r="L21" s="104">
        <f>=K21</f>
        <v>360</v>
      </c>
      <c r="M21" s="104">
        <f>=L21</f>
        <v>360</v>
      </c>
      <c r="N21" s="104">
        <f>=M21</f>
        <v>360</v>
      </c>
      <c r="O21" s="104">
        <f>=N21</f>
        <v>360</v>
      </c>
    </row>
    <row r="22" spans="1:15" s="142" customFormat="true" ht="12" customHeight="true">
      <c r="A22" s="114">
        <v>2</v>
      </c>
      <c r="B22" s="21" t="s">
        <v>205</v>
      </c>
      <c r="C22" s="118">
        <f>=SUM((D22:O22))</f>
        <v>83.0074493805705</v>
      </c>
      <c r="D22" s="116">
        <f>=D23+D24+D25+D26</f>
        <v>3.6474557024</v>
      </c>
      <c r="E22" s="116">
        <f>=E23+E24+E25+E26</f>
        <v>7.248802727776</v>
      </c>
      <c r="F22" s="116">
        <f>=F23+F24+F25+F26</f>
        <v>7.24775856213712</v>
      </c>
      <c r="G22" s="116">
        <f>=G23+G24+G25+G26</f>
        <v>7.24677858532644</v>
      </c>
      <c r="H22" s="116">
        <f>=H23+H24+H25+H26</f>
        <v>7.24586247639981</v>
      </c>
      <c r="I22" s="116">
        <f>=I23+I24+I25+I26</f>
        <v>7.23461311601781</v>
      </c>
      <c r="J22" s="100">
        <f>=J23+J24+J25+J26</f>
        <v>7.22203018643772</v>
      </c>
      <c r="K22" s="116">
        <f>=K23+K24+K25+K26</f>
        <v>7.20951017150553</v>
      </c>
      <c r="L22" s="116">
        <f>=L23+L24+L25+L26</f>
        <v>7.197052756648</v>
      </c>
      <c r="M22" s="116">
        <f>=M23+M24+M25+M26</f>
        <v>7.18465762886476</v>
      </c>
      <c r="N22" s="116">
        <f>=N23+N24+N25+N26</f>
        <v>7.16759947672044</v>
      </c>
      <c r="O22" s="116">
        <f>=O23+O24+O25+O26</f>
        <v>7.15532799033684</v>
      </c>
    </row>
    <row r="23" spans="1:15" ht="12" customHeight="true">
      <c r="A23" s="126">
        <v>2.1</v>
      </c>
      <c r="B23" s="28" t="s">
        <v>206</v>
      </c>
      <c r="C23" s="15" t="s"/>
      <c r="D23" s="15" t="s"/>
      <c r="E23" s="105" t="s"/>
      <c r="F23" s="105" t="s"/>
      <c r="G23" s="105" t="s"/>
      <c r="H23" s="105" t="s"/>
      <c r="I23" s="105" t="s"/>
      <c r="J23" s="17" t="s"/>
      <c r="K23" s="105" t="s"/>
      <c r="L23" s="105" t="s"/>
      <c r="M23" s="105" t="s"/>
      <c r="N23" s="105" t="s"/>
      <c r="O23" s="105" t="s"/>
    </row>
    <row r="24" spans="1:15" ht="12" customHeight="true">
      <c r="A24" s="126">
        <v>2.2</v>
      </c>
      <c r="B24" s="28" t="s">
        <v>207</v>
      </c>
      <c r="C24" s="15" t="s"/>
      <c r="D24" s="15" t="s"/>
      <c r="E24" s="105" t="s"/>
      <c r="F24" s="105" t="s"/>
      <c r="G24" s="105" t="s"/>
      <c r="H24" s="105" t="s"/>
      <c r="I24" s="105" t="s"/>
      <c r="J24" s="17" t="s"/>
      <c r="K24" s="105" t="s"/>
      <c r="L24" s="105" t="s"/>
      <c r="M24" s="105" t="s"/>
      <c r="N24" s="105" t="s"/>
      <c r="O24" s="105" t="s"/>
    </row>
    <row r="25" spans="1:15" ht="12" customHeight="true">
      <c r="A25" s="126">
        <v>2.3</v>
      </c>
      <c r="B25" s="73" t="s">
        <v>208</v>
      </c>
      <c r="C25" s="15">
        <f>=SUM((D25:M25))</f>
        <v>48.0791653394592</v>
      </c>
      <c r="D25" s="104">
        <f>=D27*0.07</f>
        <v>2.55321899168</v>
      </c>
      <c r="E25" s="104">
        <f>=E27*0.07</f>
        <v>5.0741619094432</v>
      </c>
      <c r="F25" s="104">
        <f>=F27*0.07</f>
        <v>5.07343099349599</v>
      </c>
      <c r="G25" s="104">
        <f>=G27*0.07</f>
        <v>5.07274500972851</v>
      </c>
      <c r="H25" s="104">
        <f>=H27*0.07</f>
        <v>5.07210373347986</v>
      </c>
      <c r="I25" s="104">
        <f>=I27*0.07</f>
        <v>5.06422918121246</v>
      </c>
      <c r="J25" s="106">
        <f>=J27*0.07</f>
        <v>5.0554211305064</v>
      </c>
      <c r="K25" s="104">
        <f>=K27*0.07</f>
        <v>5.04665712005387</v>
      </c>
      <c r="L25" s="104">
        <f>=L27*0.07</f>
        <v>5.0379369296536</v>
      </c>
      <c r="M25" s="104">
        <f>=M27*0.07</f>
        <v>5.02926034020533</v>
      </c>
      <c r="N25" s="104">
        <f>=N27*0.07</f>
        <v>5.01731963370431</v>
      </c>
      <c r="O25" s="104">
        <f>=O27*0.07</f>
        <v>5.00872959323579</v>
      </c>
    </row>
    <row r="26" spans="1:15" ht="12" customHeight="true">
      <c r="A26" s="126">
        <v>2.4</v>
      </c>
      <c r="B26" s="28" t="s">
        <v>209</v>
      </c>
      <c r="C26" s="15">
        <f>=SUM((D26:M26))</f>
        <v>20.605356574054</v>
      </c>
      <c r="D26" s="104">
        <f>=D27*0.03</f>
        <v>1.09423671072</v>
      </c>
      <c r="E26" s="104">
        <f>=E27*0.03</f>
        <v>2.1746408183328</v>
      </c>
      <c r="F26" s="104">
        <f>=F27*0.03</f>
        <v>2.17432756864114</v>
      </c>
      <c r="G26" s="104">
        <f>=G27*0.03</f>
        <v>2.17403357559793</v>
      </c>
      <c r="H26" s="104">
        <f>=H27*0.03</f>
        <v>2.17375874291994</v>
      </c>
      <c r="I26" s="104">
        <f>=I27*0.03</f>
        <v>2.17038393480534</v>
      </c>
      <c r="J26" s="106">
        <f>=J27*0.03</f>
        <v>2.16660905593132</v>
      </c>
      <c r="K26" s="104">
        <f>=K27*0.03</f>
        <v>2.16285305145166</v>
      </c>
      <c r="L26" s="104">
        <f>=L27*0.03</f>
        <v>2.1591158269944</v>
      </c>
      <c r="M26" s="104">
        <f>=M27*0.03</f>
        <v>2.15539728865943</v>
      </c>
      <c r="N26" s="104">
        <f>=N27*0.03</f>
        <v>2.15027984301613</v>
      </c>
      <c r="O26" s="104">
        <f>=O27*0.03</f>
        <v>2.14659839710105</v>
      </c>
    </row>
    <row r="27" spans="1:15" ht="12" customHeight="true">
      <c r="A27" s="126">
        <v>3</v>
      </c>
      <c r="B27" s="28" t="s">
        <v>32</v>
      </c>
      <c r="C27" s="15">
        <f>=SUM((D27:M27))</f>
        <v>686.845219135132</v>
      </c>
      <c r="D27" s="104">
        <f>=D28-D29</f>
        <v>36.474557024</v>
      </c>
      <c r="E27" s="104">
        <f>=E28-E29</f>
        <v>72.48802727776</v>
      </c>
      <c r="F27" s="104">
        <f>=F28-F29</f>
        <v>72.4775856213712</v>
      </c>
      <c r="G27" s="104">
        <f>=G28-G29</f>
        <v>72.4677858532644</v>
      </c>
      <c r="H27" s="104">
        <f>=H28-H29</f>
        <v>72.4586247639981</v>
      </c>
      <c r="I27" s="104">
        <f>=I28-I29</f>
        <v>72.3461311601781</v>
      </c>
      <c r="J27" s="104">
        <f>=J28-J29</f>
        <v>72.2203018643772</v>
      </c>
      <c r="K27" s="104">
        <f>=K28-K29</f>
        <v>72.0951017150553</v>
      </c>
      <c r="L27" s="104">
        <f>=L28-L29</f>
        <v>71.97052756648</v>
      </c>
      <c r="M27" s="104">
        <f>=M28-M29</f>
        <v>71.8465762886476</v>
      </c>
      <c r="N27" s="104">
        <f>=N28-N29</f>
        <v>71.6759947672044</v>
      </c>
      <c r="O27" s="104">
        <f>=O28-O29</f>
        <v>71.5532799033684</v>
      </c>
    </row>
    <row r="28" spans="1:15" ht="12" customHeight="true">
      <c r="A28" s="126">
        <v>3.1</v>
      </c>
      <c r="B28" s="28" t="s">
        <v>210</v>
      </c>
      <c r="C28" s="15">
        <f>=SUM((D28:M28))</f>
        <v>712.611119135132</v>
      </c>
      <c r="D28" s="104">
        <f>=(D6+D12)*0.13+D15*0.06</f>
        <v>37.605657024</v>
      </c>
      <c r="E28" s="104">
        <f>=(E6+E12)*0.13+E15*0.06</f>
        <v>75.20022727776</v>
      </c>
      <c r="F28" s="104">
        <f>=(F6+F12)*0.13+F15*0.06</f>
        <v>75.1897856213712</v>
      </c>
      <c r="G28" s="104">
        <f>=(G6+G12)*0.13+G15*0.06</f>
        <v>75.1799858532644</v>
      </c>
      <c r="H28" s="104">
        <f>=(H6+H12)*0.13+H15*0.06</f>
        <v>75.170824763998</v>
      </c>
      <c r="I28" s="104">
        <f>=(I6+I12)*0.13+I15*0.06</f>
        <v>75.1033311601781</v>
      </c>
      <c r="J28" s="104">
        <f>=(J6+J12)*0.13+J15*0.06</f>
        <v>74.9775018643772</v>
      </c>
      <c r="K28" s="104">
        <f>=(K6+K12)*0.13+K15*0.06</f>
        <v>74.8523017150553</v>
      </c>
      <c r="L28" s="104">
        <f>=(L6+L12)*0.13+L15*0.06</f>
        <v>74.72772756648</v>
      </c>
      <c r="M28" s="104">
        <f>=(M6+M12)*0.13+M15*0.06</f>
        <v>74.6037762886476</v>
      </c>
      <c r="N28" s="104">
        <f>=(N6+N12)*0.13+N15*0.06</f>
        <v>74.4804447672044</v>
      </c>
      <c r="O28" s="104">
        <f>=(O6+O12)*0.13+O15*0.06</f>
        <v>74.3577299033684</v>
      </c>
    </row>
    <row r="29" spans="1:15" ht="12" customHeight="true">
      <c r="A29" s="126">
        <v>3.2</v>
      </c>
      <c r="B29" s="28" t="s">
        <v>211</v>
      </c>
      <c r="C29" s="15">
        <f>=SUM((D29:M29))</f>
        <v>25.7659</v>
      </c>
      <c r="D29" s="104">
        <f>=总成本费用表!D5*0.13+总成本费用表!D10*0.09</f>
        <v>1.1311</v>
      </c>
      <c r="E29" s="104">
        <f>=总成本费用表!E5*0.13+总成本费用表!E10*0.09</f>
        <v>2.7122</v>
      </c>
      <c r="F29" s="104">
        <f>=总成本费用表!F5*0.13+总成本费用表!F10*0.09</f>
        <v>2.7122</v>
      </c>
      <c r="G29" s="104">
        <f>=总成本费用表!G5*0.13+总成本费用表!G10*0.09</f>
        <v>2.7122</v>
      </c>
      <c r="H29" s="104">
        <f>=总成本费用表!H5*0.13+总成本费用表!H10*0.09</f>
        <v>2.7122</v>
      </c>
      <c r="I29" s="104">
        <f>=总成本费用表!I5*0.13+总成本费用表!I10*0.09</f>
        <v>2.7572</v>
      </c>
      <c r="J29" s="104">
        <f>=总成本费用表!J5*0.13+总成本费用表!J10*0.09</f>
        <v>2.7572</v>
      </c>
      <c r="K29" s="104">
        <f>=总成本费用表!K5*0.13+总成本费用表!K10*0.09</f>
        <v>2.7572</v>
      </c>
      <c r="L29" s="104">
        <f>=总成本费用表!L5*0.13+总成本费用表!L10*0.09</f>
        <v>2.7572</v>
      </c>
      <c r="M29" s="104">
        <f>=总成本费用表!M5*0.13+总成本费用表!M10*0.09</f>
        <v>2.7572</v>
      </c>
      <c r="N29" s="104">
        <f>=总成本费用表!N5*0.13+总成本费用表!N10*0.09</f>
        <v>2.80445</v>
      </c>
      <c r="O29" s="104">
        <f>=总成本费用表!O5*0.13+总成本费用表!O10*0.09</f>
        <v>2.80445</v>
      </c>
    </row>
  </sheetData>
  <mergeCells count="5">
    <mergeCell ref="A1:L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>
  <sheetPr/>
  <dimension ref="P17"/>
  <sheetViews>
    <sheetView showGridLines="true" zoomScale="120" zoomScaleNormal="120" workbookViewId="0"/>
  </sheetViews>
  <sheetFormatPr defaultColWidth="9" defaultRowHeight="14.4"/>
  <cols>
    <col min="1" max="1" width="3.37037" style="144" customWidth="true"/>
    <col min="2" max="2" width="14.1296" style="144" customWidth="true"/>
    <col min="3" max="3" width="13.3241" customWidth="true"/>
    <col min="4" max="15" width="7.87037" customWidth="true"/>
  </cols>
  <sheetData>
    <row r="1" spans="1:13">
      <c r="A1" s="19" t="s">
        <v>15</v>
      </c>
      <c r="B1" s="19" t="s"/>
      <c r="C1" s="19" t="s"/>
      <c r="D1" s="19" t="s"/>
      <c r="E1" s="19" t="s"/>
      <c r="F1" s="19" t="s"/>
      <c r="G1" s="19" t="s"/>
      <c r="H1" s="19" t="s"/>
      <c r="I1" s="19" t="s"/>
      <c r="J1" s="19" t="s"/>
      <c r="K1" s="19" t="s"/>
      <c r="L1" s="19" t="s"/>
      <c r="M1" s="19" t="s"/>
    </row>
    <row r="2" spans="12:12" ht="15.4" customHeight="true">
      <c r="L2" t="s">
        <v>2</v>
      </c>
    </row>
    <row r="3" spans="1:15" s="152" customFormat="true" ht="14.1" customHeight="true">
      <c r="A3" s="20" t="s">
        <v>3</v>
      </c>
      <c r="B3" s="20" t="s">
        <v>4</v>
      </c>
      <c r="C3" s="20" t="s">
        <v>5</v>
      </c>
      <c r="D3" s="21" t="s">
        <v>8</v>
      </c>
      <c r="E3" s="21" t="s"/>
      <c r="F3" s="21" t="s"/>
      <c r="G3" s="21" t="s"/>
      <c r="H3" s="21" t="s"/>
      <c r="I3" s="21" t="s"/>
      <c r="J3" s="21" t="s"/>
      <c r="K3" s="21" t="s"/>
      <c r="L3" s="21" t="s"/>
      <c r="M3" s="21" t="s"/>
      <c r="N3" s="21" t="s"/>
      <c r="O3" s="21" t="s"/>
    </row>
    <row r="4" spans="1:15" s="152" customFormat="true" ht="12" customHeight="true">
      <c r="A4" s="22" t="s"/>
      <c r="B4" s="22" t="s"/>
      <c r="C4" s="22" t="s"/>
      <c r="D4" s="23">
        <v>0.5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24">
        <v>10</v>
      </c>
      <c r="N4" s="24">
        <v>11</v>
      </c>
      <c r="O4" s="24">
        <v>12</v>
      </c>
    </row>
    <row r="5" spans="1:15" s="153" customFormat="true" ht="15" customHeight="true">
      <c r="A5" s="25">
        <v>1</v>
      </c>
      <c r="B5" s="26" t="s">
        <v>16</v>
      </c>
      <c r="C5" s="27">
        <f>=SUM(D5:O5)</f>
        <v>160.31</v>
      </c>
      <c r="D5" s="27">
        <f>=2.6*0.5+D6</f>
        <v>6.97</v>
      </c>
      <c r="E5" s="27">
        <f>=2.6+E6</f>
        <v>13.94</v>
      </c>
      <c r="F5" s="27">
        <f>=2.6+F6</f>
        <v>13.94</v>
      </c>
      <c r="G5" s="27">
        <f>=2.6+G6</f>
        <v>13.94</v>
      </c>
      <c r="H5" s="27">
        <f>=2.6+H6</f>
        <v>13.94</v>
      </c>
      <c r="I5" s="27">
        <f>=2.6+I6</f>
        <v>13.94</v>
      </c>
      <c r="J5" s="27">
        <f>=2.6+J6</f>
        <v>13.94</v>
      </c>
      <c r="K5" s="27">
        <f>=2.6+K6</f>
        <v>13.94</v>
      </c>
      <c r="L5" s="27">
        <f>=2.6+L6</f>
        <v>13.94</v>
      </c>
      <c r="M5" s="27">
        <f>=2.6+M6</f>
        <v>13.94</v>
      </c>
      <c r="N5" s="27">
        <f>=2.6+N6</f>
        <v>13.94</v>
      </c>
      <c r="O5" s="27">
        <f>=2.6+O6</f>
        <v>13.94</v>
      </c>
    </row>
    <row r="6" spans="1:15" s="153" customFormat="true" ht="15" customHeight="true">
      <c r="A6" s="25" t="s"/>
      <c r="B6" s="26" t="s">
        <v>17</v>
      </c>
      <c r="C6" s="27" t="s"/>
      <c r="D6" s="27">
        <f>=900*180*0.35/10000</f>
        <v>5.67</v>
      </c>
      <c r="E6" s="27">
        <f>=900*360*0.35/10000</f>
        <v>11.34</v>
      </c>
      <c r="F6" s="27">
        <f>=900*360*0.35/10000</f>
        <v>11.34</v>
      </c>
      <c r="G6" s="27">
        <f>=900*360*0.35/10000</f>
        <v>11.34</v>
      </c>
      <c r="H6" s="27">
        <f>=900*360*0.35/10000</f>
        <v>11.34</v>
      </c>
      <c r="I6" s="27">
        <f>=900*360*0.35/10000</f>
        <v>11.34</v>
      </c>
      <c r="J6" s="27">
        <f>=900*360*0.35/10000</f>
        <v>11.34</v>
      </c>
      <c r="K6" s="27">
        <f>=900*360*0.35/10000</f>
        <v>11.34</v>
      </c>
      <c r="L6" s="27">
        <f>=900*360*0.35/10000</f>
        <v>11.34</v>
      </c>
      <c r="M6" s="27">
        <f>=900*360*0.35/10000</f>
        <v>11.34</v>
      </c>
      <c r="N6" s="27">
        <f>=900*360*0.35/10000</f>
        <v>11.34</v>
      </c>
      <c r="O6" s="27">
        <f>=900*360*0.35/10000</f>
        <v>11.34</v>
      </c>
    </row>
    <row r="7" spans="1:15" s="153" customFormat="true" ht="15" customHeight="true">
      <c r="A7" s="25">
        <v>2</v>
      </c>
      <c r="B7" s="26" t="s">
        <v>18</v>
      </c>
      <c r="C7" s="27">
        <f>=SUM(D7:O7)</f>
        <v>329.6104</v>
      </c>
      <c r="D7" s="27">
        <f>=4*7*0.5</f>
        <v>14</v>
      </c>
      <c r="E7" s="27">
        <f>=4*7</f>
        <v>28</v>
      </c>
      <c r="F7" s="27">
        <f>=E7</f>
        <v>28</v>
      </c>
      <c r="G7" s="27">
        <f>=F7</f>
        <v>28</v>
      </c>
      <c r="H7" s="27">
        <f>=G7</f>
        <v>28</v>
      </c>
      <c r="I7" s="27">
        <f>=H7*1.03</f>
        <v>28.84</v>
      </c>
      <c r="J7" s="27">
        <f>=I7</f>
        <v>28.84</v>
      </c>
      <c r="K7" s="27">
        <f>=J7</f>
        <v>28.84</v>
      </c>
      <c r="L7" s="27">
        <f>=K7</f>
        <v>28.84</v>
      </c>
      <c r="M7" s="27">
        <f>=L7</f>
        <v>28.84</v>
      </c>
      <c r="N7" s="27">
        <f>=M7*1.03</f>
        <v>29.7052</v>
      </c>
      <c r="O7" s="27">
        <f>=N7</f>
        <v>29.7052</v>
      </c>
    </row>
    <row r="8" spans="1:15" s="153" customFormat="true" ht="15" customHeight="true">
      <c r="A8" s="25">
        <v>3</v>
      </c>
      <c r="B8" s="26" t="s">
        <v>19</v>
      </c>
      <c r="C8" s="27">
        <f>=SUM(D8:O8)</f>
        <v>169.2225</v>
      </c>
      <c r="D8" s="27">
        <v>7.3575</v>
      </c>
      <c r="E8" s="27">
        <v>14.715</v>
      </c>
      <c r="F8" s="27">
        <f>=E8</f>
        <v>14.715</v>
      </c>
      <c r="G8" s="27">
        <f>=F8</f>
        <v>14.715</v>
      </c>
      <c r="H8" s="27">
        <f>=G8</f>
        <v>14.715</v>
      </c>
      <c r="I8" s="27">
        <f>=H8</f>
        <v>14.715</v>
      </c>
      <c r="J8" s="27">
        <f>=I8</f>
        <v>14.715</v>
      </c>
      <c r="K8" s="27">
        <f>=J8</f>
        <v>14.715</v>
      </c>
      <c r="L8" s="27">
        <f>=K8</f>
        <v>14.715</v>
      </c>
      <c r="M8" s="27">
        <f>=L8</f>
        <v>14.715</v>
      </c>
      <c r="N8" s="27">
        <f>=M8</f>
        <v>14.715</v>
      </c>
      <c r="O8" s="27">
        <f>=N8</f>
        <v>14.715</v>
      </c>
    </row>
    <row r="9" spans="1:15" s="152" customFormat="true" ht="15" customHeight="true">
      <c r="A9" s="25">
        <v>4</v>
      </c>
      <c r="B9" s="28" t="s">
        <v>20</v>
      </c>
      <c r="C9" s="27">
        <f>=SUM(D9:O9)</f>
        <v>237.673524565141</v>
      </c>
      <c r="D9" s="15">
        <f>=(营业收入及税金表!D7*营业收入及税金表!D9*营业收入及税金表!D10)*0.06/10000</f>
        <v>10.6337448</v>
      </c>
      <c r="E9" s="15">
        <f>=(营业收入及税金表!E7*营业收入及税金表!E9*营业收入及税金表!E10)*0.06/10000</f>
        <v>21.161152152</v>
      </c>
      <c r="F9" s="15">
        <f>=(营业收入及税金表!F7*营业收入及税金表!F9*营业收入及税金表!F10)*0.06/10000</f>
        <v>21.05534639124</v>
      </c>
      <c r="G9" s="15">
        <f>=(营业收入及税金表!G7*营业收入及税金表!G9*营业收入及税金表!G10)*0.06/10000</f>
        <v>20.9500696592838</v>
      </c>
      <c r="H9" s="15">
        <f>=(营业收入及税金表!H7*营业收入及税金表!H9*营业收入及税金表!H10)*0.06/10000</f>
        <v>20.8453193109874</v>
      </c>
      <c r="I9" s="15">
        <f>=(营业收入及税金表!I7*营业收入及税金表!I9*营业收入及税金表!I10)*0.06/10000</f>
        <v>20.7410927144325</v>
      </c>
      <c r="J9" s="15">
        <f>=(营业收入及税金表!J7*营业收入及税金表!J9*营业收入及税金表!J10)*0.06/10000</f>
        <v>20.6373872508603</v>
      </c>
      <c r="K9" s="15">
        <f>=(营业收入及税金表!K7*营业收入及税金表!K9*营业收入及税金表!K10)*0.06/10000</f>
        <v>20.534200314606</v>
      </c>
      <c r="L9" s="15">
        <f>=(营业收入及税金表!L7*营业收入及税金表!L9*营业收入及税金表!L10)*0.06/10000</f>
        <v>20.431529313033</v>
      </c>
      <c r="M9" s="15">
        <f>=(营业收入及税金表!M7*营业收入及税金表!M9*营业收入及税金表!M10)*0.06/10000</f>
        <v>20.3293716664678</v>
      </c>
      <c r="N9" s="15">
        <f>=(营业收入及税金表!N7*营业收入及税金表!N9*营业收入及税金表!N10)*0.06/10000</f>
        <v>20.2277248081355</v>
      </c>
      <c r="O9" s="15">
        <f>=(营业收入及税金表!O7*营业收入及税金表!O9*营业收入及税金表!O10)*0.06/10000</f>
        <v>20.1265861840948</v>
      </c>
    </row>
    <row r="10" spans="1:15" s="152" customFormat="true" ht="15" customHeight="true">
      <c r="A10" s="25">
        <v>6</v>
      </c>
      <c r="B10" s="28" t="s">
        <v>21</v>
      </c>
      <c r="C10" s="27">
        <f>=SUM(D10:O10)</f>
        <v>117.05</v>
      </c>
      <c r="D10" s="15">
        <f>=5/2</f>
        <v>2.5</v>
      </c>
      <c r="E10" s="15">
        <v>10</v>
      </c>
      <c r="F10" s="15">
        <f>=E10</f>
        <v>10</v>
      </c>
      <c r="G10" s="15">
        <f>=F10</f>
        <v>10</v>
      </c>
      <c r="H10" s="15">
        <f>=G10</f>
        <v>10</v>
      </c>
      <c r="I10" s="15">
        <f>=H10*1.05</f>
        <v>10.5</v>
      </c>
      <c r="J10" s="15">
        <f>=I10</f>
        <v>10.5</v>
      </c>
      <c r="K10" s="15">
        <f>=J10</f>
        <v>10.5</v>
      </c>
      <c r="L10" s="15">
        <f>=K10</f>
        <v>10.5</v>
      </c>
      <c r="M10" s="15">
        <f>=L10</f>
        <v>10.5</v>
      </c>
      <c r="N10" s="15">
        <f>=M10*1.05</f>
        <v>11.025</v>
      </c>
      <c r="O10" s="15">
        <f>=N10</f>
        <v>11.025</v>
      </c>
    </row>
    <row r="11" spans="1:15" s="152" customFormat="true" ht="21" customHeight="true">
      <c r="A11" s="25">
        <v>7</v>
      </c>
      <c r="B11" s="28" t="s">
        <v>22</v>
      </c>
      <c r="C11" s="27">
        <f>=SUM(D11:O11)</f>
        <v>1013.86642456514</v>
      </c>
      <c r="D11" s="29">
        <f>=SUM(D7:D10)+D5</f>
        <v>41.4612448</v>
      </c>
      <c r="E11" s="29">
        <f>=SUM(E7:E10)+E5</f>
        <v>87.816152152</v>
      </c>
      <c r="F11" s="29">
        <f>=SUM(F7:F10)+F5</f>
        <v>87.71034639124</v>
      </c>
      <c r="G11" s="29">
        <f>=SUM(G7:G10)+G5</f>
        <v>87.6050696592838</v>
      </c>
      <c r="H11" s="29">
        <f>=SUM(H7:H10)+H5</f>
        <v>87.5003193109874</v>
      </c>
      <c r="I11" s="29">
        <f>=SUM(I7:I10)+I5</f>
        <v>88.7360927144325</v>
      </c>
      <c r="J11" s="29">
        <f>=SUM(J7:J10)+J5</f>
        <v>88.6323872508603</v>
      </c>
      <c r="K11" s="29">
        <f>=SUM(K7:K10)+K5</f>
        <v>88.529200314606</v>
      </c>
      <c r="L11" s="29">
        <f>=SUM(L7:L10)+L5</f>
        <v>88.426529313033</v>
      </c>
      <c r="M11" s="29">
        <f>=SUM(M7:M10)+M5</f>
        <v>88.3243716664678</v>
      </c>
      <c r="N11" s="29">
        <f>=SUM(N7:N10)+N5</f>
        <v>89.6129248081355</v>
      </c>
      <c r="O11" s="29">
        <f>=SUM(O7:O10)+O5</f>
        <v>89.5117861840948</v>
      </c>
    </row>
    <row r="12" spans="1:15" s="152" customFormat="true" ht="15" customHeight="true">
      <c r="A12" s="25">
        <v>8</v>
      </c>
      <c r="B12" s="28" t="s">
        <v>13</v>
      </c>
      <c r="C12" s="27">
        <f>=SUM(D12:O12)</f>
        <v>2010.80467940707</v>
      </c>
      <c r="D12" s="15">
        <f>=固定资产折旧!F9</f>
        <v>87.426290409003</v>
      </c>
      <c r="E12" s="15">
        <f>=固定资产折旧!G9</f>
        <v>174.852580818006</v>
      </c>
      <c r="F12" s="15">
        <f>=固定资产折旧!H9</f>
        <v>174.852580818006</v>
      </c>
      <c r="G12" s="15">
        <f>=固定资产折旧!I9</f>
        <v>174.852580818006</v>
      </c>
      <c r="H12" s="15">
        <f>=固定资产折旧!J9</f>
        <v>174.852580818006</v>
      </c>
      <c r="I12" s="15">
        <f>=固定资产折旧!K9</f>
        <v>174.852580818006</v>
      </c>
      <c r="J12" s="15">
        <f>=固定资产折旧!L9</f>
        <v>174.852580818006</v>
      </c>
      <c r="K12" s="15">
        <f>=固定资产折旧!M9</f>
        <v>174.852580818006</v>
      </c>
      <c r="L12" s="15">
        <f>=固定资产折旧!N9</f>
        <v>174.852580818006</v>
      </c>
      <c r="M12" s="15">
        <f>=固定资产折旧!O9</f>
        <v>174.852580818006</v>
      </c>
      <c r="N12" s="15">
        <f>=固定资产折旧!P9</f>
        <v>174.852580818006</v>
      </c>
      <c r="O12" s="15">
        <f>=固定资产折旧!Q9</f>
        <v>174.852580818006</v>
      </c>
    </row>
    <row r="13" spans="1:15" s="152" customFormat="true" ht="15" customHeight="true">
      <c r="A13" s="30">
        <v>10</v>
      </c>
      <c r="B13" s="28" t="s">
        <v>23</v>
      </c>
      <c r="C13" s="27">
        <f>=SUM(D13:O13)</f>
        <v>0</v>
      </c>
      <c r="D13" s="15" t="s"/>
      <c r="E13" s="29" t="s"/>
      <c r="F13" s="29" t="s"/>
      <c r="G13" s="29" t="s"/>
      <c r="H13" s="29" t="s"/>
      <c r="I13" s="29" t="s"/>
      <c r="J13" s="29" t="s"/>
      <c r="K13" s="29" t="s"/>
      <c r="L13" s="29" t="s"/>
      <c r="M13" s="29" t="s"/>
      <c r="N13" s="29" t="s"/>
      <c r="O13" s="29" t="s"/>
    </row>
    <row r="14" spans="1:15" s="153" customFormat="true" ht="15" customHeight="true">
      <c r="A14" s="25">
        <v>11</v>
      </c>
      <c r="B14" s="26" t="s">
        <v>24</v>
      </c>
      <c r="C14" s="27">
        <f>=SUM(D14:O14)</f>
        <v>1022.364</v>
      </c>
      <c r="D14" s="27">
        <f>=还本付息表!E9</f>
        <v>79.38</v>
      </c>
      <c r="E14" s="27">
        <f>=还本付息表!F9</f>
        <v>150.696</v>
      </c>
      <c r="F14" s="27">
        <f>=还本付息表!G9</f>
        <v>139.608</v>
      </c>
      <c r="G14" s="27">
        <f>=还本付息表!H9</f>
        <v>128.268</v>
      </c>
      <c r="H14" s="27">
        <f>=还本付息表!I9</f>
        <v>116.172</v>
      </c>
      <c r="I14" s="27">
        <f>=还本付息表!J9</f>
        <v>103.068</v>
      </c>
      <c r="J14" s="27">
        <f>=还本付息表!K9</f>
        <v>89.46</v>
      </c>
      <c r="K14" s="27">
        <f>=还本付息表!L9</f>
        <v>75.096</v>
      </c>
      <c r="L14" s="27">
        <f>=还本付息表!M9</f>
        <v>59.976</v>
      </c>
      <c r="M14" s="27">
        <f>=还本付息表!N9</f>
        <v>44.1</v>
      </c>
      <c r="N14" s="27">
        <f>=还本付息表!O9</f>
        <v>27.216</v>
      </c>
      <c r="O14" s="27">
        <f>=还本付息表!P9</f>
        <v>9.324</v>
      </c>
    </row>
    <row r="15" spans="1:15" s="152" customFormat="true" ht="18.95" customHeight="true">
      <c r="A15" s="30">
        <v>12</v>
      </c>
      <c r="B15" s="28" t="s">
        <v>25</v>
      </c>
      <c r="C15" s="27">
        <f>=SUM(D15:O15)</f>
        <v>4047.03510397221</v>
      </c>
      <c r="D15" s="29">
        <f>=SUM(D11:D14)</f>
        <v>208.267535209003</v>
      </c>
      <c r="E15" s="29">
        <f>=SUM(E11:E14)</f>
        <v>413.364732970006</v>
      </c>
      <c r="F15" s="29">
        <f>=SUM(F11:F14)</f>
        <v>402.170927209246</v>
      </c>
      <c r="G15" s="29">
        <f>=SUM(G11:G14)</f>
        <v>390.72565047729</v>
      </c>
      <c r="H15" s="29">
        <f>=SUM(H11:H14)</f>
        <v>378.524900128993</v>
      </c>
      <c r="I15" s="29">
        <f>=SUM(I11:I14)</f>
        <v>366.656673532439</v>
      </c>
      <c r="J15" s="29">
        <f>=SUM(J11:J14)</f>
        <v>352.944968068866</v>
      </c>
      <c r="K15" s="29">
        <f>=SUM(K11:K14)</f>
        <v>338.477781132612</v>
      </c>
      <c r="L15" s="29">
        <f>=SUM(L11:L14)</f>
        <v>323.255110131039</v>
      </c>
      <c r="M15" s="29">
        <f>=SUM(M11:M14)</f>
        <v>307.276952484474</v>
      </c>
      <c r="N15" s="29">
        <f>=SUM(N11:N14)</f>
        <v>291.681505626142</v>
      </c>
      <c r="O15" s="29">
        <f>=SUM(O11:O14)</f>
        <v>273.688367002101</v>
      </c>
    </row>
    <row r="16" spans="1:15" s="152" customFormat="true" ht="15" customHeight="true">
      <c r="A16" s="11">
        <v>12.1</v>
      </c>
      <c r="B16" s="28" t="s">
        <v>26</v>
      </c>
      <c r="C16" s="27">
        <f>=SUM(D16:O16)</f>
        <v>3150.21867940707</v>
      </c>
      <c r="D16" s="29">
        <f>=D10+D12+D13+D14</f>
        <v>169.306290409003</v>
      </c>
      <c r="E16" s="29">
        <f>=E10+E12+E13+E14</f>
        <v>335.548580818006</v>
      </c>
      <c r="F16" s="29">
        <f>=F10+F12+F13+F14</f>
        <v>324.460580818006</v>
      </c>
      <c r="G16" s="29">
        <f>=G10+G12+G13+G14</f>
        <v>313.120580818006</v>
      </c>
      <c r="H16" s="29">
        <f>=H10+H12+H13+H14</f>
        <v>301.024580818006</v>
      </c>
      <c r="I16" s="29">
        <f>=I10+I12+I13+I14</f>
        <v>288.420580818006</v>
      </c>
      <c r="J16" s="29">
        <f>=J10+J12+J13+J14</f>
        <v>274.812580818006</v>
      </c>
      <c r="K16" s="29">
        <f>=K10+K12+K13+K14</f>
        <v>260.448580818006</v>
      </c>
      <c r="L16" s="29">
        <f>=L10+L12+L13+L14</f>
        <v>245.328580818006</v>
      </c>
      <c r="M16" s="29">
        <f>=M10+M12+M13+M14</f>
        <v>229.452580818006</v>
      </c>
      <c r="N16" s="29">
        <f>=N10+N12+N13+N14</f>
        <v>213.093580818006</v>
      </c>
      <c r="O16" s="29">
        <f>=O10+O12+O13+O14</f>
        <v>195.201580818006</v>
      </c>
    </row>
    <row r="17" spans="1:15" s="152" customFormat="true" ht="15" customHeight="true">
      <c r="A17" s="11">
        <v>12.2</v>
      </c>
      <c r="B17" s="28" t="s">
        <v>27</v>
      </c>
      <c r="C17" s="27">
        <f>=SUM(D17:O17)</f>
        <v>659.1429</v>
      </c>
      <c r="D17" s="15">
        <f>=D5+D7+D8</f>
        <v>28.3275</v>
      </c>
      <c r="E17" s="15">
        <f>=E5+E7+E8</f>
        <v>56.655</v>
      </c>
      <c r="F17" s="15">
        <f>=F5+F7+F8</f>
        <v>56.655</v>
      </c>
      <c r="G17" s="15">
        <f>=G5+G7+G8</f>
        <v>56.655</v>
      </c>
      <c r="H17" s="15">
        <f>=H5+H7+H8</f>
        <v>56.655</v>
      </c>
      <c r="I17" s="15">
        <f>=I5+I7+I8</f>
        <v>57.495</v>
      </c>
      <c r="J17" s="15">
        <f>=J5+J7+J8</f>
        <v>57.495</v>
      </c>
      <c r="K17" s="15">
        <f>=K5+K7+K8</f>
        <v>57.495</v>
      </c>
      <c r="L17" s="15">
        <f>=L5+L7+L8</f>
        <v>57.495</v>
      </c>
      <c r="M17" s="15">
        <f>=M5+M7+M8</f>
        <v>57.495</v>
      </c>
      <c r="N17" s="15">
        <f>=N5+N7+N8</f>
        <v>58.3602</v>
      </c>
      <c r="O17" s="15">
        <f>=O5+O7+O8</f>
        <v>58.3602</v>
      </c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>
  <sheetPr/>
  <dimension ref="O26"/>
  <sheetViews>
    <sheetView showGridLines="true" tabSelected="false" topLeftCell="B1" zoomScale="120" zoomScaleNormal="120" workbookViewId="0"/>
  </sheetViews>
  <sheetFormatPr defaultColWidth="9" defaultRowHeight="14.4"/>
  <cols>
    <col min="1" max="1" width="3.62963" customWidth="true"/>
    <col min="2" max="2" width="26.5093" customWidth="true"/>
    <col min="3" max="3" width="9.93519" style="144" customWidth="true"/>
    <col min="4" max="4" width="7.5" style="144" customWidth="true"/>
    <col min="5" max="13" width="8.24074" customWidth="true"/>
    <col min="14" max="14" width="9.07407" customWidth="true"/>
  </cols>
  <sheetData>
    <row r="1" spans="1:13" ht="27" customHeight="true">
      <c r="A1" s="4" t="s">
        <v>28</v>
      </c>
      <c r="B1" s="4" t="s"/>
      <c r="C1" s="4" t="s"/>
      <c r="D1" s="4" t="s"/>
      <c r="E1" s="4" t="s"/>
      <c r="F1" s="4" t="s"/>
      <c r="G1" s="4" t="s"/>
      <c r="H1" s="4" t="s"/>
      <c r="I1" s="4" t="s"/>
      <c r="J1" s="4" t="s"/>
      <c r="K1" s="4" t="s"/>
      <c r="L1" s="4" t="s"/>
      <c r="M1" s="4" t="s"/>
    </row>
    <row r="2" spans="11:11">
      <c r="K2" t="s">
        <v>2</v>
      </c>
    </row>
    <row r="3" spans="1:15">
      <c r="A3" s="13" t="s">
        <v>3</v>
      </c>
      <c r="B3" s="31" t="s"/>
      <c r="C3" s="32" t="s"/>
      <c r="D3" s="32" t="s">
        <v>8</v>
      </c>
      <c r="E3" s="32" t="s"/>
      <c r="F3" s="32" t="s"/>
      <c r="G3" s="32" t="s"/>
      <c r="H3" s="32" t="s"/>
      <c r="I3" s="32" t="s"/>
      <c r="J3" s="32" t="s"/>
      <c r="K3" s="32" t="s"/>
      <c r="L3" s="32" t="s"/>
      <c r="M3" s="32" t="s"/>
      <c r="N3" s="32" t="s"/>
      <c r="O3" s="32" t="s"/>
    </row>
    <row r="4" spans="1:15">
      <c r="A4" s="13" t="s"/>
      <c r="B4" s="28" t="s">
        <v>29</v>
      </c>
      <c r="C4" s="28" t="s">
        <v>5</v>
      </c>
      <c r="D4" s="28">
        <v>0.5</v>
      </c>
      <c r="E4" s="30">
        <v>2</v>
      </c>
      <c r="F4" s="30">
        <v>3</v>
      </c>
      <c r="G4" s="30">
        <v>4</v>
      </c>
      <c r="H4" s="30">
        <v>5</v>
      </c>
      <c r="I4" s="30">
        <v>6</v>
      </c>
      <c r="J4" s="30">
        <v>7</v>
      </c>
      <c r="K4" s="30">
        <v>8</v>
      </c>
      <c r="L4" s="30">
        <v>9</v>
      </c>
      <c r="M4" s="30">
        <v>10</v>
      </c>
      <c r="N4" s="30">
        <v>11</v>
      </c>
      <c r="O4" s="30">
        <v>12</v>
      </c>
    </row>
    <row r="5" spans="1:15" ht="12" customHeight="true">
      <c r="A5" s="33">
        <v>1</v>
      </c>
      <c r="B5" s="28" t="s">
        <v>30</v>
      </c>
      <c r="C5" s="15">
        <f>=SUM(D5:O5)</f>
        <v>6731.31462927465</v>
      </c>
      <c r="D5" s="15">
        <f>=营业收入及税金表!D5</f>
        <v>291.9202848</v>
      </c>
      <c r="E5" s="15">
        <f>=营业收入及税金表!E5</f>
        <v>584.813686752</v>
      </c>
      <c r="F5" s="15">
        <f>=营业收入及税金表!F5</f>
        <v>585.79176631824</v>
      </c>
      <c r="G5" s="15">
        <f>=营业收入及税金表!G5</f>
        <v>586.774783486649</v>
      </c>
      <c r="H5" s="15">
        <f>=营业收入及税金表!H5</f>
        <v>587.762713569216</v>
      </c>
      <c r="I5" s="15">
        <f>=营业收入及税金表!I5</f>
        <v>587.77273200137</v>
      </c>
      <c r="J5" s="15">
        <f>=营业收入及税金表!J5</f>
        <v>586.804814341363</v>
      </c>
      <c r="K5" s="15">
        <f>=营业收入及税金表!K5</f>
        <v>585.841736269656</v>
      </c>
      <c r="L5" s="15">
        <f>=营业收入及税金表!L5</f>
        <v>584.883473588308</v>
      </c>
      <c r="M5" s="15">
        <f>=营业收入及税金表!M5</f>
        <v>583.930002220366</v>
      </c>
      <c r="N5" s="15">
        <f>=营业收入及税金表!N5</f>
        <v>582.981298209264</v>
      </c>
      <c r="O5" s="15">
        <f>=营业收入及税金表!O5</f>
        <v>582.037337718218</v>
      </c>
    </row>
    <row r="6" spans="1:15" ht="12" customHeight="true">
      <c r="A6" s="33">
        <v>2</v>
      </c>
      <c r="B6" s="28" t="s">
        <v>31</v>
      </c>
      <c r="C6" s="15">
        <f>=SUM(D6:O6)</f>
        <v>83.0074493805705</v>
      </c>
      <c r="D6" s="34">
        <f>=营业收入及税金表!D22</f>
        <v>3.6474557024</v>
      </c>
      <c r="E6" s="34">
        <f>=营业收入及税金表!E22</f>
        <v>7.248802727776</v>
      </c>
      <c r="F6" s="34">
        <f>=营业收入及税金表!F22</f>
        <v>7.24775856213712</v>
      </c>
      <c r="G6" s="34">
        <f>=营业收入及税金表!G22</f>
        <v>7.24677858532644</v>
      </c>
      <c r="H6" s="34">
        <f>=营业收入及税金表!H22</f>
        <v>7.24586247639981</v>
      </c>
      <c r="I6" s="34">
        <f>=营业收入及税金表!I22</f>
        <v>7.23461311601781</v>
      </c>
      <c r="J6" s="34">
        <f>=营业收入及税金表!J22</f>
        <v>7.22203018643772</v>
      </c>
      <c r="K6" s="34">
        <f>=营业收入及税金表!K22</f>
        <v>7.20951017150553</v>
      </c>
      <c r="L6" s="34">
        <f>=营业收入及税金表!L22</f>
        <v>7.197052756648</v>
      </c>
      <c r="M6" s="34">
        <f>=营业收入及税金表!M22</f>
        <v>7.18465762886476</v>
      </c>
      <c r="N6" s="34">
        <f>=营业收入及税金表!N22</f>
        <v>7.16759947672044</v>
      </c>
      <c r="O6" s="34">
        <f>=营业收入及税金表!O22</f>
        <v>7.15532799033684</v>
      </c>
    </row>
    <row r="7" spans="1:15" ht="12" customHeight="true">
      <c r="A7" s="33">
        <v>3</v>
      </c>
      <c r="B7" s="28" t="s">
        <v>32</v>
      </c>
      <c r="C7" s="15">
        <f>=SUM(D7:O7)</f>
        <v>830.074493805705</v>
      </c>
      <c r="D7" s="15">
        <f>=营业收入及税金表!D27</f>
        <v>36.474557024</v>
      </c>
      <c r="E7" s="15">
        <f>=营业收入及税金表!E27</f>
        <v>72.48802727776</v>
      </c>
      <c r="F7" s="15">
        <f>=营业收入及税金表!F27</f>
        <v>72.4775856213712</v>
      </c>
      <c r="G7" s="15">
        <f>=营业收入及税金表!G27</f>
        <v>72.4677858532644</v>
      </c>
      <c r="H7" s="15">
        <f>=营业收入及税金表!H27</f>
        <v>72.4586247639981</v>
      </c>
      <c r="I7" s="15">
        <f>=营业收入及税金表!I27</f>
        <v>72.3461311601781</v>
      </c>
      <c r="J7" s="15">
        <f>=营业收入及税金表!J27</f>
        <v>72.2203018643772</v>
      </c>
      <c r="K7" s="15">
        <f>=营业收入及税金表!K27</f>
        <v>72.0951017150553</v>
      </c>
      <c r="L7" s="15">
        <f>=营业收入及税金表!L27</f>
        <v>71.97052756648</v>
      </c>
      <c r="M7" s="15">
        <f>=营业收入及税金表!M27</f>
        <v>71.8465762886476</v>
      </c>
      <c r="N7" s="15">
        <f>=营业收入及税金表!N27</f>
        <v>71.6759947672044</v>
      </c>
      <c r="O7" s="15">
        <f>=营业收入及税金表!O27</f>
        <v>71.5532799033684</v>
      </c>
    </row>
    <row r="8" spans="1:15" ht="12" customHeight="true">
      <c r="A8" s="33">
        <v>4</v>
      </c>
      <c r="B8" s="28" t="s">
        <v>33</v>
      </c>
      <c r="C8" s="15">
        <f>=SUM(D8:O8)</f>
        <v>4047.03510397221</v>
      </c>
      <c r="D8" s="15">
        <f>=总成本费用表!D15</f>
        <v>208.267535209003</v>
      </c>
      <c r="E8" s="15">
        <f>=总成本费用表!E15</f>
        <v>413.364732970006</v>
      </c>
      <c r="F8" s="15">
        <f>=总成本费用表!F15</f>
        <v>402.170927209246</v>
      </c>
      <c r="G8" s="15">
        <f>=总成本费用表!G15</f>
        <v>390.72565047729</v>
      </c>
      <c r="H8" s="15">
        <f>=总成本费用表!H15</f>
        <v>378.524900128993</v>
      </c>
      <c r="I8" s="15">
        <f>=总成本费用表!I15</f>
        <v>366.656673532439</v>
      </c>
      <c r="J8" s="15">
        <f>=总成本费用表!J15</f>
        <v>352.944968068866</v>
      </c>
      <c r="K8" s="15">
        <f>=总成本费用表!K15</f>
        <v>338.477781132612</v>
      </c>
      <c r="L8" s="15">
        <f>=总成本费用表!L15</f>
        <v>323.255110131039</v>
      </c>
      <c r="M8" s="15">
        <f>=总成本费用表!M15</f>
        <v>307.276952484474</v>
      </c>
      <c r="N8" s="15">
        <f>=总成本费用表!N15</f>
        <v>291.681505626142</v>
      </c>
      <c r="O8" s="15">
        <f>=总成本费用表!O15</f>
        <v>273.688367002101</v>
      </c>
    </row>
    <row r="9" spans="1:15" ht="12" customHeight="true">
      <c r="A9" s="33">
        <v>5</v>
      </c>
      <c r="B9" s="28" t="s">
        <v>34</v>
      </c>
      <c r="C9" s="15" t="s"/>
      <c r="D9" s="15" t="s"/>
      <c r="E9" s="15" t="s"/>
      <c r="F9" s="15" t="s"/>
      <c r="G9" s="15" t="s"/>
      <c r="H9" s="15" t="s"/>
      <c r="I9" s="15" t="s"/>
      <c r="J9" s="15" t="s"/>
      <c r="K9" s="15" t="s"/>
      <c r="L9" s="15" t="s"/>
      <c r="M9" s="15" t="s"/>
      <c r="N9" s="15" t="s"/>
      <c r="O9" s="15" t="s"/>
    </row>
    <row r="10" spans="1:15" ht="12" customHeight="true">
      <c r="A10" s="33">
        <v>6</v>
      </c>
      <c r="B10" s="13" t="s">
        <v>35</v>
      </c>
      <c r="C10" s="15">
        <f>=SUM(D10:O10)</f>
        <v>1771.19758211616</v>
      </c>
      <c r="D10" s="27">
        <f>=D5-D6-D7-D8+D9</f>
        <v>43.530736864597</v>
      </c>
      <c r="E10" s="27">
        <f>=E5-E6-E7-E8+E9</f>
        <v>91.7121237764581</v>
      </c>
      <c r="F10" s="27">
        <f>=F5-F6-F7-F8+F9</f>
        <v>103.895494925486</v>
      </c>
      <c r="G10" s="15">
        <f>=G5-G6-G7-G8+G9</f>
        <v>116.334568570768</v>
      </c>
      <c r="H10" s="15">
        <f>=H5-H6-H7-H8+H9</f>
        <v>129.533326199824</v>
      </c>
      <c r="I10" s="15">
        <f>=I5-I6-I7-I8+I9</f>
        <v>141.535314192735</v>
      </c>
      <c r="J10" s="15">
        <f>=J5-J6-J7-J8+J9</f>
        <v>154.417514221682</v>
      </c>
      <c r="K10" s="15">
        <f>=K5-K6-K7-K8+K9</f>
        <v>168.059343250483</v>
      </c>
      <c r="L10" s="15">
        <f>=L5-L6-L7-L8+L9</f>
        <v>182.460783134141</v>
      </c>
      <c r="M10" s="15">
        <f>=M5-M6-M7-M8+M9</f>
        <v>197.62181581838</v>
      </c>
      <c r="N10" s="15">
        <f>=N5-N6-N7-N8+N9</f>
        <v>212.456198339198</v>
      </c>
      <c r="O10" s="15">
        <f>=O5-O6-O7-O8+O9</f>
        <v>229.640362822412</v>
      </c>
    </row>
    <row r="11" spans="1:15" ht="12" customHeight="true">
      <c r="A11" s="33">
        <v>7</v>
      </c>
      <c r="B11" s="13" t="s">
        <v>36</v>
      </c>
      <c r="C11" s="15" t="s"/>
      <c r="D11" s="27" t="s"/>
      <c r="E11" s="27" t="s"/>
      <c r="F11" s="27" t="s"/>
      <c r="G11" s="15" t="s"/>
      <c r="H11" s="15" t="s"/>
      <c r="I11" s="15" t="s"/>
      <c r="J11" s="15" t="s"/>
      <c r="K11" s="15" t="s"/>
      <c r="L11" s="15" t="s"/>
      <c r="M11" s="15" t="s"/>
      <c r="N11" s="15" t="s"/>
      <c r="O11" s="15" t="s"/>
    </row>
    <row r="12" spans="1:15" ht="12" customHeight="true">
      <c r="A12" s="33">
        <v>8</v>
      </c>
      <c r="B12" s="13" t="s">
        <v>37</v>
      </c>
      <c r="C12" s="15">
        <f>=SUM(D12:O12)</f>
        <v>1771.19758211616</v>
      </c>
      <c r="D12" s="15">
        <f>=D10-D11</f>
        <v>43.530736864597</v>
      </c>
      <c r="E12" s="15">
        <f>=E10-E11</f>
        <v>91.7121237764581</v>
      </c>
      <c r="F12" s="15">
        <f>=F10-F11</f>
        <v>103.895494925486</v>
      </c>
      <c r="G12" s="15">
        <f>=G10-G11</f>
        <v>116.334568570768</v>
      </c>
      <c r="H12" s="15">
        <f>=H10-H11</f>
        <v>129.533326199824</v>
      </c>
      <c r="I12" s="15">
        <f>=I10-I11</f>
        <v>141.535314192735</v>
      </c>
      <c r="J12" s="15">
        <f>=J10-J11</f>
        <v>154.417514221682</v>
      </c>
      <c r="K12" s="15">
        <f>=K10-K11</f>
        <v>168.059343250483</v>
      </c>
      <c r="L12" s="15">
        <f>=L10-L11</f>
        <v>182.460783134141</v>
      </c>
      <c r="M12" s="15">
        <f>=M10-M11</f>
        <v>197.62181581838</v>
      </c>
      <c r="N12" s="15">
        <f>=N10-N11</f>
        <v>212.456198339198</v>
      </c>
      <c r="O12" s="15">
        <f>=O10-O11</f>
        <v>229.640362822412</v>
      </c>
    </row>
    <row r="13" spans="1:15" ht="12" customHeight="true">
      <c r="A13" s="33">
        <v>9</v>
      </c>
      <c r="B13" s="28" t="s">
        <v>38</v>
      </c>
      <c r="C13" s="15">
        <f>=SUM(D13:O13)</f>
        <v>442.799395529041</v>
      </c>
      <c r="D13" s="27">
        <f>=D12*0.25</f>
        <v>10.8826842161492</v>
      </c>
      <c r="E13" s="27">
        <f>=E12*0.25</f>
        <v>22.9280309441145</v>
      </c>
      <c r="F13" s="27">
        <f>=F12*0.25</f>
        <v>25.9738737313714</v>
      </c>
      <c r="G13" s="27">
        <f>=G12*0.25</f>
        <v>29.0836421426921</v>
      </c>
      <c r="H13" s="27">
        <f>=H12*0.25</f>
        <v>32.3833315499561</v>
      </c>
      <c r="I13" s="15">
        <f>=I12*0.25</f>
        <v>35.3838285481838</v>
      </c>
      <c r="J13" s="15">
        <f>=J12*0.25</f>
        <v>38.6043785554204</v>
      </c>
      <c r="K13" s="15">
        <f>=K12*0.25</f>
        <v>42.0148358126208</v>
      </c>
      <c r="L13" s="15">
        <f>=L12*0.25</f>
        <v>45.6151957835352</v>
      </c>
      <c r="M13" s="15">
        <f>=M12*0.25</f>
        <v>49.405453954595</v>
      </c>
      <c r="N13" s="15">
        <f>=N12*0.25</f>
        <v>53.1140495847995</v>
      </c>
      <c r="O13" s="15">
        <f>=O12*0.25</f>
        <v>57.410090705603</v>
      </c>
    </row>
    <row r="14" spans="1:15" ht="12" customHeight="true">
      <c r="A14" s="33">
        <v>10</v>
      </c>
      <c r="B14" s="13" t="s">
        <v>39</v>
      </c>
      <c r="C14" s="15">
        <f>=SUM(D14:O14)</f>
        <v>1328.39818658712</v>
      </c>
      <c r="D14" s="27">
        <f>=D10-D11-D13</f>
        <v>32.6480526484477</v>
      </c>
      <c r="E14" s="27">
        <f>=E10-E11-E13</f>
        <v>68.7840928323436</v>
      </c>
      <c r="F14" s="27">
        <f>=F10-F11-F13</f>
        <v>77.9216211941142</v>
      </c>
      <c r="G14" s="27">
        <f>=G10-G11-G13</f>
        <v>87.2509264280762</v>
      </c>
      <c r="H14" s="27">
        <f>=H10-H11-H13</f>
        <v>97.1499946498682</v>
      </c>
      <c r="I14" s="27">
        <f>=I10-I11-I13</f>
        <v>106.151485644551</v>
      </c>
      <c r="J14" s="27">
        <f>=J10-J11-J13</f>
        <v>115.813135666261</v>
      </c>
      <c r="K14" s="27">
        <f>=K10-K11-K13</f>
        <v>126.044507437862</v>
      </c>
      <c r="L14" s="27">
        <f>=L10-L11-L13</f>
        <v>136.845587350606</v>
      </c>
      <c r="M14" s="27">
        <f>=M10-M11-M13</f>
        <v>148.216361863785</v>
      </c>
      <c r="N14" s="27">
        <f>=N10-N11-N13</f>
        <v>159.342148754399</v>
      </c>
      <c r="O14" s="27">
        <f>=O10-O11-O13</f>
        <v>172.230272116809</v>
      </c>
    </row>
    <row r="15" spans="1:15" ht="12" customHeight="true">
      <c r="A15" s="33">
        <v>11</v>
      </c>
      <c r="B15" s="13" t="s">
        <v>40</v>
      </c>
      <c r="C15" s="15">
        <f>=SUM(D15:O15)</f>
        <v>5141.50715579483</v>
      </c>
      <c r="D15" s="27">
        <v>0</v>
      </c>
      <c r="E15" s="27">
        <f>=D24</f>
        <v>29.383247383603</v>
      </c>
      <c r="F15" s="27">
        <f>=E24</f>
        <v>91.2889309327122</v>
      </c>
      <c r="G15" s="27">
        <f>=F24</f>
        <v>161.418390007415</v>
      </c>
      <c r="H15" s="27">
        <f>=G24</f>
        <v>239.944223792684</v>
      </c>
      <c r="I15" s="27">
        <f>=H24</f>
        <v>327.379218977565</v>
      </c>
      <c r="J15" s="27">
        <f>=I24</f>
        <v>422.915556057661</v>
      </c>
      <c r="K15" s="27">
        <f>=J24</f>
        <v>527.147378157296</v>
      </c>
      <c r="L15" s="27">
        <f>=K24</f>
        <v>640.587434851372</v>
      </c>
      <c r="M15" s="27">
        <f>=L24</f>
        <v>763.748463466917</v>
      </c>
      <c r="N15" s="27">
        <f>=M24</f>
        <v>897.143189144324</v>
      </c>
      <c r="O15" s="27">
        <f>=N24</f>
        <v>1040.55112302328</v>
      </c>
    </row>
    <row r="16" spans="1:15" ht="12" customHeight="true">
      <c r="A16" s="33">
        <v>12</v>
      </c>
      <c r="B16" s="13" t="s">
        <v>41</v>
      </c>
      <c r="C16" s="15">
        <f>=SUM(D16:O16)</f>
        <v>6469.90534238196</v>
      </c>
      <c r="D16" s="27">
        <f>=D14+D15+D11</f>
        <v>32.6480526484477</v>
      </c>
      <c r="E16" s="27">
        <f>=E14+E15+E11</f>
        <v>98.1673402159465</v>
      </c>
      <c r="F16" s="27">
        <f>=F14+F15+F11</f>
        <v>169.210552126826</v>
      </c>
      <c r="G16" s="27">
        <f>=G14+G15+G11</f>
        <v>248.669316435491</v>
      </c>
      <c r="H16" s="27">
        <f>=H14+H15+H11</f>
        <v>337.094218442552</v>
      </c>
      <c r="I16" s="27">
        <f>=I14+I15+I11</f>
        <v>433.530704622116</v>
      </c>
      <c r="J16" s="27">
        <f>=J14+J15+J11</f>
        <v>538.728691723922</v>
      </c>
      <c r="K16" s="27">
        <f>=K14+K15+K11</f>
        <v>653.191885595159</v>
      </c>
      <c r="L16" s="27">
        <f>=L14+L15+L11</f>
        <v>777.433022201978</v>
      </c>
      <c r="M16" s="27">
        <f>=M14+M15+M11</f>
        <v>911.964825330702</v>
      </c>
      <c r="N16" s="27">
        <f>=N14+N15+N11</f>
        <v>1056.48533789872</v>
      </c>
      <c r="O16" s="27">
        <f>=O14+O15+O11</f>
        <v>1212.78139514009</v>
      </c>
    </row>
    <row r="17" spans="1:15" ht="12" customHeight="true">
      <c r="A17" s="33">
        <v>13</v>
      </c>
      <c r="B17" s="13" t="s">
        <v>42</v>
      </c>
      <c r="C17" s="15">
        <f>=SUM(D17:O17)</f>
        <v>132.839818658712</v>
      </c>
      <c r="D17" s="27">
        <f>=D14*0.1</f>
        <v>3.26480526484477</v>
      </c>
      <c r="E17" s="27">
        <f>=E14*0.1</f>
        <v>6.87840928323436</v>
      </c>
      <c r="F17" s="27">
        <f>=F14*0.1</f>
        <v>7.79216211941142</v>
      </c>
      <c r="G17" s="27">
        <f>=G14*0.1</f>
        <v>8.72509264280762</v>
      </c>
      <c r="H17" s="27">
        <f>=H14*0.1</f>
        <v>9.71499946498682</v>
      </c>
      <c r="I17" s="27">
        <f>=I14*0.1</f>
        <v>10.6151485644551</v>
      </c>
      <c r="J17" s="27">
        <f>=J14*0.1</f>
        <v>11.5813135666261</v>
      </c>
      <c r="K17" s="27">
        <f>=K14*0.1</f>
        <v>12.6044507437862</v>
      </c>
      <c r="L17" s="27">
        <f>=L14*0.1</f>
        <v>13.6845587350606</v>
      </c>
      <c r="M17" s="27">
        <f>=M14*0.1</f>
        <v>14.8216361863785</v>
      </c>
      <c r="N17" s="27">
        <f>=N14*0.1</f>
        <v>15.9342148754399</v>
      </c>
      <c r="O17" s="27">
        <f>=O14*0.1</f>
        <v>17.2230272116809</v>
      </c>
    </row>
    <row r="18" spans="1:15" ht="12" customHeight="true">
      <c r="A18" s="33">
        <v>14</v>
      </c>
      <c r="B18" s="28" t="s">
        <v>43</v>
      </c>
      <c r="C18" s="15">
        <f>=SUM(D18:O18)</f>
        <v>6337.06552372324</v>
      </c>
      <c r="D18" s="15">
        <f>=D16-D17</f>
        <v>29.383247383603</v>
      </c>
      <c r="E18" s="15">
        <f>=E16-E17</f>
        <v>91.2889309327122</v>
      </c>
      <c r="F18" s="15">
        <f>=F16-F17</f>
        <v>161.418390007415</v>
      </c>
      <c r="G18" s="15">
        <f>=G16-G17</f>
        <v>239.944223792684</v>
      </c>
      <c r="H18" s="15">
        <f>=H16-H17</f>
        <v>327.379218977565</v>
      </c>
      <c r="I18" s="15">
        <f>=I16-I17</f>
        <v>422.915556057661</v>
      </c>
      <c r="J18" s="15">
        <f>=J16-J17</f>
        <v>527.147378157296</v>
      </c>
      <c r="K18" s="15">
        <f>=K16-K17</f>
        <v>640.587434851372</v>
      </c>
      <c r="L18" s="15">
        <f>=L16-L17</f>
        <v>763.748463466917</v>
      </c>
      <c r="M18" s="15">
        <f>=M16-M17</f>
        <v>897.143189144324</v>
      </c>
      <c r="N18" s="15">
        <f>=N16-N17</f>
        <v>1040.55112302328</v>
      </c>
      <c r="O18" s="15">
        <f>=O16-O17</f>
        <v>1195.55836792841</v>
      </c>
    </row>
    <row r="19" spans="1:15" ht="12" customHeight="true">
      <c r="A19" s="33">
        <v>15</v>
      </c>
      <c r="B19" s="13" t="s">
        <v>44</v>
      </c>
      <c r="C19" s="15" t="s"/>
      <c r="D19" s="15" t="s"/>
      <c r="E19" s="15" t="s"/>
      <c r="F19" s="15" t="s"/>
      <c r="G19" s="15" t="s"/>
      <c r="H19" s="15" t="s"/>
      <c r="I19" s="15" t="s"/>
      <c r="J19" s="15" t="s"/>
      <c r="K19" s="15" t="s"/>
      <c r="L19" s="15" t="s"/>
      <c r="M19" s="15" t="s"/>
      <c r="N19" s="15" t="s"/>
      <c r="O19" s="15" t="s"/>
    </row>
    <row r="20" spans="1:15" ht="12" customHeight="true">
      <c r="A20" s="33">
        <v>16</v>
      </c>
      <c r="B20" s="13" t="s">
        <v>45</v>
      </c>
      <c r="C20" s="15" t="s"/>
      <c r="D20" s="15" t="s"/>
      <c r="E20" s="15" t="s"/>
      <c r="F20" s="15" t="s"/>
      <c r="G20" s="15" t="s"/>
      <c r="H20" s="15" t="s"/>
      <c r="I20" s="15" t="s"/>
      <c r="J20" s="15" t="s"/>
      <c r="K20" s="15" t="s"/>
      <c r="L20" s="15" t="s"/>
      <c r="M20" s="15" t="s"/>
      <c r="N20" s="15" t="s"/>
      <c r="O20" s="15" t="s"/>
    </row>
    <row r="21" spans="1:15" ht="12" customHeight="true">
      <c r="A21" s="33">
        <v>17</v>
      </c>
      <c r="B21" s="13" t="s">
        <v>46</v>
      </c>
      <c r="C21" s="15" t="s"/>
      <c r="D21" s="15" t="s"/>
      <c r="E21" s="15" t="s"/>
      <c r="F21" s="15" t="s"/>
      <c r="G21" s="15" t="s"/>
      <c r="H21" s="15" t="s"/>
      <c r="I21" s="15" t="s"/>
      <c r="J21" s="15" t="s"/>
      <c r="K21" s="15" t="s"/>
      <c r="L21" s="15" t="s"/>
      <c r="M21" s="15" t="s"/>
      <c r="N21" s="15" t="s"/>
      <c r="O21" s="15" t="s"/>
    </row>
    <row r="22" spans="1:15" ht="12" customHeight="true">
      <c r="A22" s="33">
        <v>18</v>
      </c>
      <c r="B22" s="13" t="s">
        <v>47</v>
      </c>
      <c r="C22" s="15" t="s"/>
      <c r="D22" s="15" t="s"/>
      <c r="E22" s="15" t="s"/>
      <c r="F22" s="15" t="s"/>
      <c r="G22" s="15" t="s"/>
      <c r="H22" s="15" t="s"/>
      <c r="I22" s="15" t="s"/>
      <c r="J22" s="15" t="s"/>
      <c r="K22" s="15" t="s"/>
      <c r="L22" s="15" t="s"/>
      <c r="M22" s="15" t="s"/>
      <c r="N22" s="15" t="s"/>
      <c r="O22" s="15" t="s"/>
    </row>
    <row r="23" spans="1:15" ht="12" customHeight="true">
      <c r="A23" s="33" t="s"/>
      <c r="B23" s="13" t="s">
        <v>48</v>
      </c>
      <c r="C23" s="15" t="s"/>
      <c r="D23" s="15" t="s"/>
      <c r="E23" s="15" t="s"/>
      <c r="F23" s="15" t="s"/>
      <c r="G23" s="15" t="s"/>
      <c r="H23" s="15" t="s"/>
      <c r="I23" s="15" t="s"/>
      <c r="J23" s="15" t="s"/>
      <c r="K23" s="15" t="s"/>
      <c r="L23" s="15" t="s"/>
      <c r="M23" s="15" t="s"/>
      <c r="N23" s="15" t="s"/>
      <c r="O23" s="15" t="s"/>
    </row>
    <row r="24" spans="1:15" ht="12" customHeight="true">
      <c r="A24" s="33">
        <v>19</v>
      </c>
      <c r="B24" s="28" t="s">
        <v>49</v>
      </c>
      <c r="C24" s="15">
        <f>=SUM(D24:O24)</f>
        <v>6337.06552372324</v>
      </c>
      <c r="D24" s="15">
        <f>=D18-D19-D20-D21-D22</f>
        <v>29.383247383603</v>
      </c>
      <c r="E24" s="15">
        <f>=E18-E19-E20-E21-E22</f>
        <v>91.2889309327122</v>
      </c>
      <c r="F24" s="15">
        <f>=F18-F19-F20-F21-F22</f>
        <v>161.418390007415</v>
      </c>
      <c r="G24" s="15">
        <f>=G18-G19-G20-G21-G22</f>
        <v>239.944223792684</v>
      </c>
      <c r="H24" s="15">
        <f>=H18-H19-H20-H21-H22</f>
        <v>327.379218977565</v>
      </c>
      <c r="I24" s="15">
        <f>=I18-I19-I20-I21-I22</f>
        <v>422.915556057661</v>
      </c>
      <c r="J24" s="15">
        <f>=J18-J19-J20-J21-J22</f>
        <v>527.147378157296</v>
      </c>
      <c r="K24" s="15">
        <f>=K18-K19-K20-K21-K22</f>
        <v>640.587434851372</v>
      </c>
      <c r="L24" s="15">
        <f>=L18-L19-L20-L21-L22</f>
        <v>763.748463466917</v>
      </c>
      <c r="M24" s="15">
        <f>=M18-M19-M20-M21-M22</f>
        <v>897.143189144324</v>
      </c>
      <c r="N24" s="15">
        <f>=N18-N19-N20-N21-N22</f>
        <v>1040.55112302328</v>
      </c>
      <c r="O24" s="15">
        <f>=O18-O19-O20-O21-O22</f>
        <v>1195.55836792841</v>
      </c>
    </row>
    <row r="25" spans="1:15" ht="12" customHeight="true">
      <c r="A25" s="33">
        <v>20</v>
      </c>
      <c r="B25" s="28" t="s">
        <v>50</v>
      </c>
      <c r="C25" s="15">
        <f>=SUM(D25:O25)</f>
        <v>2793.56158211616</v>
      </c>
      <c r="D25" s="15">
        <f>=D10+总成本费用表!D14</f>
        <v>122.910736864597</v>
      </c>
      <c r="E25" s="15">
        <f>=E10+总成本费用表!E14</f>
        <v>242.408123776458</v>
      </c>
      <c r="F25" s="15">
        <f>=F10+总成本费用表!F14</f>
        <v>243.503494925486</v>
      </c>
      <c r="G25" s="15">
        <f>=G10+总成本费用表!G14</f>
        <v>244.602568570768</v>
      </c>
      <c r="H25" s="15">
        <f>=H10+总成本费用表!H14</f>
        <v>245.705326199824</v>
      </c>
      <c r="I25" s="15">
        <f>=I10+总成本费用表!I14</f>
        <v>244.603314192735</v>
      </c>
      <c r="J25" s="15">
        <f>=J10+总成本费用表!J14</f>
        <v>243.877514221682</v>
      </c>
      <c r="K25" s="15">
        <f>=K10+总成本费用表!K14</f>
        <v>243.155343250483</v>
      </c>
      <c r="L25" s="15">
        <f>=L10+总成本费用表!L14</f>
        <v>242.436783134141</v>
      </c>
      <c r="M25" s="15">
        <f>=M10+总成本费用表!M14</f>
        <v>241.72181581838</v>
      </c>
      <c r="N25" s="15">
        <f>=N10+总成本费用表!N14</f>
        <v>239.672198339198</v>
      </c>
      <c r="O25" s="15">
        <f>=O10+总成本费用表!O14</f>
        <v>238.964362822412</v>
      </c>
    </row>
    <row r="26" spans="1:15" ht="18" customHeight="true">
      <c r="A26" s="33">
        <v>21</v>
      </c>
      <c r="B26" s="28" t="s">
        <v>51</v>
      </c>
      <c r="C26" s="15">
        <f>=SUM(D26:O26)</f>
        <v>4804.36626152323</v>
      </c>
      <c r="D26" s="15">
        <f>=D25+总成本费用表!D12+总成本费用表!D13</f>
        <v>210.3370272736</v>
      </c>
      <c r="E26" s="15">
        <f>=E25+总成本费用表!E12+总成本费用表!E13</f>
        <v>417.260704594464</v>
      </c>
      <c r="F26" s="15">
        <f>=F25+总成本费用表!F12+总成本费用表!F13</f>
        <v>418.356075743492</v>
      </c>
      <c r="G26" s="15">
        <f>=G25+总成本费用表!G12+总成本费用表!G13</f>
        <v>419.455149388774</v>
      </c>
      <c r="H26" s="15">
        <f>=H25+总成本费用表!H12+总成本费用表!H13</f>
        <v>420.55790701783</v>
      </c>
      <c r="I26" s="15">
        <f>=I25+总成本费用表!I12+总成本费用表!I13</f>
        <v>419.455895010741</v>
      </c>
      <c r="J26" s="15">
        <f>=J25+总成本费用表!J12+总成本费用表!J13</f>
        <v>418.730095039688</v>
      </c>
      <c r="K26" s="15">
        <f>=K25+总成本费用表!K12+总成本费用表!K13</f>
        <v>418.007924068489</v>
      </c>
      <c r="L26" s="15">
        <f>=L25+总成本费用表!L12+总成本费用表!L13</f>
        <v>417.289363952147</v>
      </c>
      <c r="M26" s="15">
        <f>=M25+总成本费用表!M12+总成本费用表!M13</f>
        <v>416.574396636386</v>
      </c>
      <c r="N26" s="15">
        <f>=N25+总成本费用表!N12+总成本费用表!N13</f>
        <v>414.524779157204</v>
      </c>
      <c r="O26" s="15">
        <f>=O25+总成本费用表!O12+总成本费用表!O13</f>
        <v>413.816943640418</v>
      </c>
    </row>
  </sheetData>
  <mergeCells count="3">
    <mergeCell ref="A1:M1"/>
    <mergeCell ref="D3:O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>
  <sheetPr/>
  <dimension ref="P30"/>
  <sheetViews>
    <sheetView showGridLines="true" zoomScale="120" zoomScaleNormal="120" workbookViewId="0"/>
  </sheetViews>
  <sheetFormatPr defaultColWidth="9" defaultRowHeight="14.4"/>
  <cols>
    <col min="1" max="1" width="4.12963" customWidth="true"/>
    <col min="2" max="2" width="17.5556" customWidth="true"/>
    <col min="3" max="3" width="9.62963" customWidth="true"/>
    <col min="4" max="15" width="8.24074" customWidth="true"/>
  </cols>
  <sheetData>
    <row r="1" spans="1:13" ht="17.85" customHeight="true">
      <c r="A1" s="4" t="s">
        <v>212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  <c r="M1" s="91" t="s"/>
    </row>
    <row r="2" spans="13:13">
      <c r="M2" t="s">
        <v>2</v>
      </c>
    </row>
    <row r="3" spans="1:15" s="152" customFormat="true" ht="15" customHeight="true">
      <c r="A3" s="130" t="s">
        <v>3</v>
      </c>
      <c r="B3" s="110" t="s">
        <v>229</v>
      </c>
      <c r="C3" s="110" t="s">
        <v>5</v>
      </c>
      <c r="D3" s="21" t="s">
        <v>169</v>
      </c>
      <c r="E3" s="21" t="s"/>
      <c r="F3" s="21" t="s"/>
      <c r="G3" s="21" t="s"/>
      <c r="H3" s="21" t="s"/>
      <c r="I3" s="21" t="s"/>
      <c r="J3" s="21" t="s"/>
      <c r="K3" s="21" t="s"/>
      <c r="L3" s="21" t="s"/>
      <c r="M3" s="55" t="s"/>
      <c r="N3" s="21" t="s"/>
      <c r="O3" s="55" t="s"/>
    </row>
    <row r="4" spans="1:15" s="152" customFormat="true" ht="15" customHeight="true">
      <c r="A4" s="130" t="s"/>
      <c r="B4" s="131" t="s"/>
      <c r="C4" s="132" t="s"/>
      <c r="D4" s="24">
        <v>1</v>
      </c>
      <c r="E4" s="24">
        <v>2</v>
      </c>
      <c r="F4" s="24">
        <v>3</v>
      </c>
      <c r="G4" s="24">
        <v>4</v>
      </c>
      <c r="H4" s="24">
        <v>5</v>
      </c>
      <c r="I4" s="24">
        <v>6</v>
      </c>
      <c r="J4" s="24">
        <v>7</v>
      </c>
      <c r="K4" s="24">
        <v>8</v>
      </c>
      <c r="L4" s="24">
        <v>9</v>
      </c>
      <c r="M4" s="133">
        <v>10</v>
      </c>
      <c r="N4" s="24">
        <v>11</v>
      </c>
      <c r="O4" s="133">
        <v>12</v>
      </c>
    </row>
    <row r="5" spans="1:15" s="152" customFormat="true" ht="15" customHeight="true">
      <c r="A5" s="30">
        <v>1</v>
      </c>
      <c r="B5" s="28" t="s">
        <v>55</v>
      </c>
      <c r="C5" s="134">
        <f>=SUM(D5:O5)</f>
        <v>8765.68243842758</v>
      </c>
      <c r="D5" s="69">
        <f>=D6+D7+D8+D9</f>
        <v>655.9858087704</v>
      </c>
      <c r="E5" s="69">
        <f>=E6+E7+E8+E9</f>
        <v>584.813686752</v>
      </c>
      <c r="F5" s="69">
        <f>=F6+F7+F8+F9</f>
        <v>585.79176631824</v>
      </c>
      <c r="G5" s="69">
        <f>=G6+G7+G8+G9</f>
        <v>586.774783486649</v>
      </c>
      <c r="H5" s="69">
        <f>=H6+H7+H8+H9</f>
        <v>587.762713569216</v>
      </c>
      <c r="I5" s="69">
        <f>=I6+I7+I8+I9</f>
        <v>587.77273200137</v>
      </c>
      <c r="J5" s="69">
        <f>=J6+J7+J8+J9</f>
        <v>586.804814341363</v>
      </c>
      <c r="K5" s="69">
        <f>=K6+K7+K8+K9</f>
        <v>585.841736269656</v>
      </c>
      <c r="L5" s="69">
        <f>=L6+L7+L8+L9</f>
        <v>584.883473588308</v>
      </c>
      <c r="M5" s="135">
        <f>=M6+M7+M8+M9</f>
        <v>583.930002220366</v>
      </c>
      <c r="N5" s="69">
        <f>=N6+N7+N8+N9</f>
        <v>582.981298209264</v>
      </c>
      <c r="O5" s="135">
        <f>=O6+O7+O8+O9</f>
        <v>2252.33962290075</v>
      </c>
    </row>
    <row r="6" spans="1:15" s="152" customFormat="true" ht="15" customHeight="true">
      <c r="A6" s="30">
        <v>1.1</v>
      </c>
      <c r="B6" s="28" t="s">
        <v>30</v>
      </c>
      <c r="C6" s="134">
        <f>=SUM(D6:O6)</f>
        <v>6731.31462927465</v>
      </c>
      <c r="D6" s="69">
        <f>=营业收入及税金表!D5</f>
        <v>291.9202848</v>
      </c>
      <c r="E6" s="69">
        <f>=营业收入及税金表!E5</f>
        <v>584.813686752</v>
      </c>
      <c r="F6" s="69">
        <f>=营业收入及税金表!F5</f>
        <v>585.79176631824</v>
      </c>
      <c r="G6" s="69">
        <f>=营业收入及税金表!G5</f>
        <v>586.774783486649</v>
      </c>
      <c r="H6" s="69">
        <f>=营业收入及税金表!H5</f>
        <v>587.762713569216</v>
      </c>
      <c r="I6" s="69">
        <f>=营业收入及税金表!I5</f>
        <v>587.77273200137</v>
      </c>
      <c r="J6" s="69">
        <f>=营业收入及税金表!J5</f>
        <v>586.804814341363</v>
      </c>
      <c r="K6" s="69">
        <f>=营业收入及税金表!K5</f>
        <v>585.841736269656</v>
      </c>
      <c r="L6" s="69">
        <f>=营业收入及税金表!L5</f>
        <v>584.883473588308</v>
      </c>
      <c r="M6" s="135">
        <f>=营业收入及税金表!M5</f>
        <v>583.930002220366</v>
      </c>
      <c r="N6" s="69">
        <f>=营业收入及税金表!N5</f>
        <v>582.981298209264</v>
      </c>
      <c r="O6" s="135">
        <f>=营业收入及税金表!O5</f>
        <v>582.037337718218</v>
      </c>
    </row>
    <row r="7" spans="1:15" s="153" customFormat="true" ht="15" customHeight="true">
      <c r="A7" s="25">
        <v>1.2</v>
      </c>
      <c r="B7" s="26" t="s">
        <v>213</v>
      </c>
      <c r="C7" s="134">
        <f>=SUM(D7:O7)</f>
        <v>364.0655239704</v>
      </c>
      <c r="D7" s="135">
        <f>=D11*0.09</f>
        <v>364.0655239704</v>
      </c>
      <c r="E7" s="135" t="s"/>
      <c r="F7" s="136" t="s"/>
      <c r="G7" s="135" t="s"/>
      <c r="H7" s="135" t="s"/>
      <c r="I7" s="135" t="s"/>
      <c r="J7" s="135" t="s"/>
      <c r="K7" s="135" t="s"/>
      <c r="L7" s="135" t="s"/>
      <c r="M7" s="135" t="s"/>
      <c r="N7" s="135" t="s"/>
      <c r="O7" s="135" t="s"/>
    </row>
    <row r="8" spans="1:15" s="152" customFormat="true" ht="15" customHeight="true">
      <c r="A8" s="30">
        <v>1.3</v>
      </c>
      <c r="B8" s="28" t="s">
        <v>214</v>
      </c>
      <c r="C8" s="134">
        <f>=SUM(D8:O8)</f>
        <v>1670.30228518253</v>
      </c>
      <c r="D8" s="69" t="s"/>
      <c r="E8" s="69" t="s"/>
      <c r="F8" s="69" t="s"/>
      <c r="G8" s="69" t="s"/>
      <c r="H8" s="69" t="s"/>
      <c r="I8" s="69" t="s"/>
      <c r="J8" s="69" t="s"/>
      <c r="K8" s="69" t="s"/>
      <c r="L8" s="69" t="s"/>
      <c r="M8" s="135" t="s"/>
      <c r="N8" s="69" t="s"/>
      <c r="O8" s="135">
        <f>=固定资产折旧!Q8</f>
        <v>1670.30228518253</v>
      </c>
    </row>
    <row r="9" spans="1:15" s="152" customFormat="true" ht="15" customHeight="true">
      <c r="A9" s="30">
        <v>1.4</v>
      </c>
      <c r="B9" s="28" t="s">
        <v>215</v>
      </c>
      <c r="C9" s="134" t="s"/>
      <c r="D9" s="69" t="s"/>
      <c r="E9" s="69" t="s"/>
      <c r="F9" s="69" t="s"/>
      <c r="G9" s="69" t="s"/>
      <c r="H9" s="69" t="s"/>
      <c r="I9" s="69" t="s"/>
      <c r="J9" s="69" t="s"/>
      <c r="K9" s="69" t="s"/>
      <c r="L9" s="69" t="s"/>
      <c r="M9" s="135" t="s"/>
      <c r="N9" s="69" t="s"/>
      <c r="O9" s="135" t="s"/>
    </row>
    <row r="10" spans="1:15" s="152" customFormat="true" ht="15" customHeight="true">
      <c r="A10" s="30">
        <v>2</v>
      </c>
      <c r="B10" s="28" t="s">
        <v>60</v>
      </c>
      <c r="C10" s="134">
        <f>=SUM(D10:O10)</f>
        <v>5972.12085631142</v>
      </c>
      <c r="D10" s="69">
        <f>=D11+D12+D13+D14+D15+D16</f>
        <v>4126.7557460864</v>
      </c>
      <c r="E10" s="69">
        <f>=E11+E12+E13+E14+E15+E16</f>
        <v>167.552982157536</v>
      </c>
      <c r="F10" s="69">
        <f>=F11+F12+F13+F14+F15+F16</f>
        <v>167.435690574748</v>
      </c>
      <c r="G10" s="69">
        <f>=G11+G12+G13+G14+G15+G16</f>
        <v>167.319634097875</v>
      </c>
      <c r="H10" s="69">
        <f>=H11+H12+H13+H14+H15+H16</f>
        <v>167.204806551385</v>
      </c>
      <c r="I10" s="69">
        <f>=I11+I12+I13+I14+I15+I16</f>
        <v>168.316836990628</v>
      </c>
      <c r="J10" s="69">
        <f>=J11+J12+J13+J14+J15+J16</f>
        <v>168.074719301675</v>
      </c>
      <c r="K10" s="69">
        <f>=K11+K12+K13+K14+K15+K16</f>
        <v>167.833812201167</v>
      </c>
      <c r="L10" s="69">
        <f>=L11+L12+L13+L14+L15+L16</f>
        <v>167.594109636161</v>
      </c>
      <c r="M10" s="135">
        <f>=M11+M12+M13+M14+M15+M16</f>
        <v>167.35560558398</v>
      </c>
      <c r="N10" s="69">
        <f>=N11+N12+N13+N14+N15+N16</f>
        <v>168.45651905206</v>
      </c>
      <c r="O10" s="135">
        <f>=O11+O12+O13+O14+O15+O16</f>
        <v>168.2203940778</v>
      </c>
    </row>
    <row r="11" spans="1:15" s="152" customFormat="true" ht="15" customHeight="true">
      <c r="A11" s="30">
        <v>2.1</v>
      </c>
      <c r="B11" s="28" t="s">
        <v>70</v>
      </c>
      <c r="C11" s="134">
        <f>=SUM(D11:O11)</f>
        <v>4045.17248856</v>
      </c>
      <c r="D11" s="69">
        <f>=总投资!G50</f>
        <v>4045.17248856</v>
      </c>
      <c r="E11" s="69" t="s"/>
      <c r="F11" s="69" t="s"/>
      <c r="G11" s="69" t="s"/>
      <c r="H11" s="69" t="s"/>
      <c r="I11" s="69" t="s"/>
      <c r="J11" s="69" t="s"/>
      <c r="K11" s="69" t="s"/>
      <c r="L11" s="69" t="s"/>
      <c r="M11" s="135" t="s"/>
      <c r="N11" s="69" t="s"/>
      <c r="O11" s="135" t="s"/>
    </row>
    <row r="12" spans="1:15" s="152" customFormat="true" ht="15" customHeight="true">
      <c r="A12" s="30">
        <v>2.2</v>
      </c>
      <c r="B12" s="28" t="s">
        <v>74</v>
      </c>
      <c r="C12" s="134" t="s"/>
      <c r="D12" s="69" t="s"/>
      <c r="E12" s="69" t="s"/>
      <c r="F12" s="69" t="s"/>
      <c r="G12" s="69" t="s"/>
      <c r="H12" s="69" t="s"/>
      <c r="I12" s="69" t="s"/>
      <c r="J12" s="69" t="s"/>
      <c r="K12" s="69" t="s"/>
      <c r="L12" s="69" t="s"/>
      <c r="M12" s="135" t="s"/>
      <c r="N12" s="69" t="s"/>
      <c r="O12" s="135" t="s"/>
    </row>
    <row r="13" spans="1:15" s="152" customFormat="true" ht="15" customHeight="true">
      <c r="A13" s="30">
        <v>2.3</v>
      </c>
      <c r="B13" s="28" t="s">
        <v>62</v>
      </c>
      <c r="C13" s="134">
        <f>=SUM(D13:O13)</f>
        <v>1013.86642456514</v>
      </c>
      <c r="D13" s="69">
        <f>=总成本费用表!D11</f>
        <v>41.4612448</v>
      </c>
      <c r="E13" s="69">
        <f>=总成本费用表!E11</f>
        <v>87.816152152</v>
      </c>
      <c r="F13" s="69">
        <f>=总成本费用表!F11</f>
        <v>87.71034639124</v>
      </c>
      <c r="G13" s="69">
        <f>=总成本费用表!G11</f>
        <v>87.6050696592838</v>
      </c>
      <c r="H13" s="69">
        <f>=总成本费用表!H11</f>
        <v>87.5003193109874</v>
      </c>
      <c r="I13" s="69">
        <f>=总成本费用表!I11</f>
        <v>88.7360927144325</v>
      </c>
      <c r="J13" s="69">
        <f>=总成本费用表!J11</f>
        <v>88.6323872508603</v>
      </c>
      <c r="K13" s="69">
        <f>=总成本费用表!K11</f>
        <v>88.529200314606</v>
      </c>
      <c r="L13" s="69">
        <f>=总成本费用表!L11</f>
        <v>88.426529313033</v>
      </c>
      <c r="M13" s="135">
        <f>=总成本费用表!M11</f>
        <v>88.3243716664678</v>
      </c>
      <c r="N13" s="69">
        <f>=总成本费用表!N11</f>
        <v>89.6129248081355</v>
      </c>
      <c r="O13" s="135">
        <f>=总成本费用表!O11</f>
        <v>89.5117861840948</v>
      </c>
    </row>
    <row r="14" spans="1:15" s="152" customFormat="true" ht="15" customHeight="true">
      <c r="A14" s="30">
        <v>2.4</v>
      </c>
      <c r="B14" s="28" t="s">
        <v>31</v>
      </c>
      <c r="C14" s="134">
        <f>=SUM(D14:O14)</f>
        <v>83.0074493805705</v>
      </c>
      <c r="D14" s="69">
        <f>=营业收入及税金表!D22</f>
        <v>3.6474557024</v>
      </c>
      <c r="E14" s="69">
        <f>=营业收入及税金表!E22</f>
        <v>7.248802727776</v>
      </c>
      <c r="F14" s="69">
        <f>=营业收入及税金表!F22</f>
        <v>7.24775856213712</v>
      </c>
      <c r="G14" s="69">
        <f>=营业收入及税金表!G22</f>
        <v>7.24677858532644</v>
      </c>
      <c r="H14" s="69">
        <f>=营业收入及税金表!H22</f>
        <v>7.24586247639981</v>
      </c>
      <c r="I14" s="69">
        <f>=营业收入及税金表!I22</f>
        <v>7.23461311601781</v>
      </c>
      <c r="J14" s="69">
        <f>=营业收入及税金表!J22</f>
        <v>7.22203018643772</v>
      </c>
      <c r="K14" s="69">
        <f>=营业收入及税金表!K22</f>
        <v>7.20951017150553</v>
      </c>
      <c r="L14" s="69">
        <f>=营业收入及税金表!L22</f>
        <v>7.197052756648</v>
      </c>
      <c r="M14" s="135">
        <f>=营业收入及税金表!M22</f>
        <v>7.18465762886476</v>
      </c>
      <c r="N14" s="69">
        <f>=营业收入及税金表!N22</f>
        <v>7.16759947672044</v>
      </c>
      <c r="O14" s="135">
        <f>=营业收入及税金表!O22</f>
        <v>7.15532799033684</v>
      </c>
    </row>
    <row r="15" spans="1:15" s="152" customFormat="true" ht="15" customHeight="true">
      <c r="A15" s="30">
        <v>2.5</v>
      </c>
      <c r="B15" s="28" t="s">
        <v>32</v>
      </c>
      <c r="C15" s="134">
        <f>=SUM(D15:O15)</f>
        <v>830.074493805705</v>
      </c>
      <c r="D15" s="69">
        <f>=利润及利润分配表!D7</f>
        <v>36.474557024</v>
      </c>
      <c r="E15" s="69">
        <f>=利润及利润分配表!E7</f>
        <v>72.48802727776</v>
      </c>
      <c r="F15" s="69">
        <f>=利润及利润分配表!F7</f>
        <v>72.4775856213712</v>
      </c>
      <c r="G15" s="69">
        <f>=利润及利润分配表!G7</f>
        <v>72.4677858532644</v>
      </c>
      <c r="H15" s="69">
        <f>=利润及利润分配表!H7</f>
        <v>72.4586247639981</v>
      </c>
      <c r="I15" s="69">
        <f>=利润及利润分配表!I7</f>
        <v>72.3461311601781</v>
      </c>
      <c r="J15" s="69">
        <f>=利润及利润分配表!J7</f>
        <v>72.2203018643772</v>
      </c>
      <c r="K15" s="69">
        <f>=利润及利润分配表!K7</f>
        <v>72.0951017150553</v>
      </c>
      <c r="L15" s="69">
        <f>=利润及利润分配表!L7</f>
        <v>71.97052756648</v>
      </c>
      <c r="M15" s="135">
        <f>=利润及利润分配表!M7</f>
        <v>71.8465762886476</v>
      </c>
      <c r="N15" s="69">
        <f>=利润及利润分配表!N7</f>
        <v>71.6759947672044</v>
      </c>
      <c r="O15" s="135">
        <f>=利润及利润分配表!O7</f>
        <v>71.5532799033684</v>
      </c>
    </row>
    <row r="16" spans="1:15" s="152" customFormat="true" ht="15" customHeight="true">
      <c r="A16" s="30">
        <v>2.6</v>
      </c>
      <c r="B16" s="28" t="s">
        <v>72</v>
      </c>
      <c r="C16" s="134" t="s"/>
      <c r="D16" s="69" t="s"/>
      <c r="E16" s="69" t="s"/>
      <c r="F16" s="69" t="s"/>
      <c r="G16" s="69" t="s"/>
      <c r="H16" s="69" t="s"/>
      <c r="I16" s="69" t="s"/>
      <c r="J16" s="69" t="s"/>
      <c r="K16" s="69" t="s"/>
      <c r="L16" s="69" t="s"/>
      <c r="M16" s="135" t="s"/>
      <c r="N16" s="69" t="s"/>
      <c r="O16" s="135" t="s"/>
    </row>
    <row r="17" spans="1:15" s="152" customFormat="true" ht="22" customHeight="true">
      <c r="A17" s="30">
        <v>3</v>
      </c>
      <c r="B17" s="13" t="s">
        <v>216</v>
      </c>
      <c r="C17" s="134">
        <f>=SUM(D17:O17)</f>
        <v>2793.56158211616</v>
      </c>
      <c r="D17" s="69">
        <f>=D5-D10</f>
        <v>-3470.769937316</v>
      </c>
      <c r="E17" s="69">
        <f>=E5-E10</f>
        <v>417.260704594464</v>
      </c>
      <c r="F17" s="69">
        <f>=F5-F10</f>
        <v>418.356075743492</v>
      </c>
      <c r="G17" s="69">
        <f>=G5-G10</f>
        <v>419.455149388774</v>
      </c>
      <c r="H17" s="69">
        <f>=H5-H10</f>
        <v>420.55790701783</v>
      </c>
      <c r="I17" s="69">
        <f>=I5-I10</f>
        <v>419.455895010741</v>
      </c>
      <c r="J17" s="69">
        <f>=J5-J10</f>
        <v>418.730095039688</v>
      </c>
      <c r="K17" s="69">
        <f>=K5-K10</f>
        <v>418.007924068489</v>
      </c>
      <c r="L17" s="69">
        <f>=L5-L10</f>
        <v>417.289363952147</v>
      </c>
      <c r="M17" s="135">
        <f>=M5-M10</f>
        <v>416.574396636386</v>
      </c>
      <c r="N17" s="69">
        <f>=N5-N10</f>
        <v>414.524779157204</v>
      </c>
      <c r="O17" s="135">
        <f>=O5-O10</f>
        <v>2084.11922882295</v>
      </c>
    </row>
    <row r="18" spans="1:15" s="152" customFormat="true" ht="22" customHeight="true">
      <c r="A18" s="30">
        <v>4</v>
      </c>
      <c r="B18" s="13" t="s">
        <v>217</v>
      </c>
      <c r="C18" s="134" t="s"/>
      <c r="D18" s="69">
        <f>=D17</f>
        <v>-3470.769937316</v>
      </c>
      <c r="E18" s="69">
        <f>=D18+E17</f>
        <v>-3053.50923272154</v>
      </c>
      <c r="F18" s="69">
        <f>=E18+F17</f>
        <v>-2635.15315697804</v>
      </c>
      <c r="G18" s="69">
        <f>=F18+G17</f>
        <v>-2215.69800758927</v>
      </c>
      <c r="H18" s="69">
        <f>=G18+H17</f>
        <v>-1795.14010057144</v>
      </c>
      <c r="I18" s="69">
        <f>=H18+I17</f>
        <v>-1375.6842055607</v>
      </c>
      <c r="J18" s="69">
        <f>=I18+J17</f>
        <v>-956.954110521011</v>
      </c>
      <c r="K18" s="69">
        <f>=J18+K17</f>
        <v>-538.946186452522</v>
      </c>
      <c r="L18" s="69">
        <f>=K18+L17</f>
        <v>-121.656822500375</v>
      </c>
      <c r="M18" s="135">
        <f>=L18+M17</f>
        <v>294.917574136011</v>
      </c>
      <c r="N18" s="69">
        <f>=M18+N17</f>
        <v>709.442353293215</v>
      </c>
      <c r="O18" s="135">
        <f>=N18+O17</f>
        <v>2793.56158211616</v>
      </c>
    </row>
    <row r="19" spans="1:15" s="152" customFormat="true" ht="22" customHeight="true">
      <c r="A19" s="30">
        <v>5</v>
      </c>
      <c r="B19" s="13" t="s">
        <v>218</v>
      </c>
      <c r="C19" s="134">
        <f>=SUM(D19:O19)</f>
        <v>1163.73342786443</v>
      </c>
      <c r="D19" s="69">
        <f>=D17/POWER(1.042,1)</f>
        <v>-3330.87326038004</v>
      </c>
      <c r="E19" s="69">
        <f>=E17/POWER(1.042,2)</f>
        <v>384.30147305903</v>
      </c>
      <c r="F19" s="69">
        <f>=F17/POWER(1.042,3)</f>
        <v>369.779579024727</v>
      </c>
      <c r="G19" s="69">
        <f>=G17/POWER(1.042,4)</f>
        <v>355.807136418481</v>
      </c>
      <c r="H19" s="69">
        <f>=H17/POWER(1.042,5)</f>
        <v>342.363303164849</v>
      </c>
      <c r="I19" s="69">
        <f>=I17/POWER(1.042,6)</f>
        <v>327.702676548466</v>
      </c>
      <c r="J19" s="69">
        <f>=J17/POWER(1.042,7)</f>
        <v>313.949751005588</v>
      </c>
      <c r="K19" s="69">
        <f>=K17/POWER(1.042,8)</f>
        <v>300.775711597716</v>
      </c>
      <c r="L19" s="69">
        <f>=L17/POWER(1.042,9)</f>
        <v>288.156117960861</v>
      </c>
      <c r="M19" s="135">
        <f>=M17/POWER(1.042,10)</f>
        <v>276.067564789522</v>
      </c>
      <c r="N19" s="69">
        <f>=N17/POWER(1.042,11)</f>
        <v>263.636530731008</v>
      </c>
      <c r="O19" s="135">
        <f>=O17/POWER(1.042,12)</f>
        <v>1272.06684394422</v>
      </c>
    </row>
    <row r="20" spans="1:15" s="152" customFormat="true" ht="22" customHeight="true">
      <c r="A20" s="30">
        <v>6</v>
      </c>
      <c r="B20" s="13" t="s">
        <v>219</v>
      </c>
      <c r="C20" s="134" t="s"/>
      <c r="D20" s="69">
        <f>=D19</f>
        <v>-3330.87326038004</v>
      </c>
      <c r="E20" s="69">
        <f>=D20+E19</f>
        <v>-2946.57178732101</v>
      </c>
      <c r="F20" s="69">
        <f>=E20+F19</f>
        <v>-2576.79220829628</v>
      </c>
      <c r="G20" s="69">
        <f>=F20+G19</f>
        <v>-2220.9850718778</v>
      </c>
      <c r="H20" s="69">
        <f>=G20+H19</f>
        <v>-1878.62176871295</v>
      </c>
      <c r="I20" s="69">
        <f>=H20+I19</f>
        <v>-1550.91909216449</v>
      </c>
      <c r="J20" s="69">
        <f>=I20+J19</f>
        <v>-1236.9693411589</v>
      </c>
      <c r="K20" s="69">
        <f>=J20+K19</f>
        <v>-936.193629561182</v>
      </c>
      <c r="L20" s="69">
        <f>=K20+L19</f>
        <v>-648.037511600321</v>
      </c>
      <c r="M20" s="135">
        <f>=L20+M19</f>
        <v>-371.969946810798</v>
      </c>
      <c r="N20" s="69">
        <f>=M20+N19</f>
        <v>-108.333416079791</v>
      </c>
      <c r="O20" s="135">
        <f>=N20+O19</f>
        <v>1163.73342786443</v>
      </c>
    </row>
    <row r="21" spans="1:15" s="152" customFormat="true" ht="22" customHeight="true">
      <c r="A21" s="30">
        <v>7</v>
      </c>
      <c r="B21" s="13" t="s">
        <v>220</v>
      </c>
      <c r="C21" s="134">
        <f>=SUM(D21:O21)</f>
        <v>431.916711312892</v>
      </c>
      <c r="D21" s="69" t="s"/>
      <c r="E21" s="69">
        <f>=利润及利润分配表!E13</f>
        <v>22.9280309441145</v>
      </c>
      <c r="F21" s="69">
        <f>=利润及利润分配表!F13</f>
        <v>25.9738737313714</v>
      </c>
      <c r="G21" s="69">
        <f>=利润及利润分配表!G13</f>
        <v>29.0836421426921</v>
      </c>
      <c r="H21" s="69">
        <f>=利润及利润分配表!H13</f>
        <v>32.3833315499561</v>
      </c>
      <c r="I21" s="69">
        <f>=利润及利润分配表!I13</f>
        <v>35.3838285481838</v>
      </c>
      <c r="J21" s="69">
        <f>=利润及利润分配表!J13</f>
        <v>38.6043785554204</v>
      </c>
      <c r="K21" s="69">
        <f>=利润及利润分配表!K13</f>
        <v>42.0148358126208</v>
      </c>
      <c r="L21" s="69">
        <f>=利润及利润分配表!L13</f>
        <v>45.6151957835352</v>
      </c>
      <c r="M21" s="135">
        <f>=利润及利润分配表!M13</f>
        <v>49.405453954595</v>
      </c>
      <c r="N21" s="69">
        <f>=利润及利润分配表!N13</f>
        <v>53.1140495847995</v>
      </c>
      <c r="O21" s="135">
        <f>=利润及利润分配表!O13</f>
        <v>57.410090705603</v>
      </c>
    </row>
    <row r="22" spans="1:15" s="152" customFormat="true" ht="22" customHeight="true">
      <c r="A22" s="30">
        <v>8</v>
      </c>
      <c r="B22" s="13" t="s">
        <v>221</v>
      </c>
      <c r="C22" s="134">
        <f>=SUM(D22:O22)</f>
        <v>2361.64487080327</v>
      </c>
      <c r="D22" s="69">
        <f>=D17-D21</f>
        <v>-3470.769937316</v>
      </c>
      <c r="E22" s="69">
        <f>=E17-E21</f>
        <v>394.33267365035</v>
      </c>
      <c r="F22" s="69">
        <f>=F17-F21</f>
        <v>392.38220201212</v>
      </c>
      <c r="G22" s="69">
        <f>=G17-G21</f>
        <v>390.371507246082</v>
      </c>
      <c r="H22" s="69">
        <f>=H17-H21</f>
        <v>388.174575467874</v>
      </c>
      <c r="I22" s="69">
        <f>=I17-I21</f>
        <v>384.072066462558</v>
      </c>
      <c r="J22" s="69">
        <f>=J17-J21</f>
        <v>380.125716484267</v>
      </c>
      <c r="K22" s="69">
        <f>=K17-K21</f>
        <v>375.993088255868</v>
      </c>
      <c r="L22" s="69">
        <f>=L17-L21</f>
        <v>371.674168168612</v>
      </c>
      <c r="M22" s="135">
        <f>=M17-M21</f>
        <v>367.168942681791</v>
      </c>
      <c r="N22" s="69">
        <f>=N17-N21</f>
        <v>361.410729572405</v>
      </c>
      <c r="O22" s="135">
        <f>=O17-O21</f>
        <v>2026.70913811735</v>
      </c>
    </row>
    <row r="23" spans="1:15" s="152" customFormat="true" ht="22" customHeight="true">
      <c r="A23" s="30">
        <v>9</v>
      </c>
      <c r="B23" s="13" t="s">
        <v>222</v>
      </c>
      <c r="C23" s="134" t="s"/>
      <c r="D23" s="69">
        <f>=D22</f>
        <v>-3470.769937316</v>
      </c>
      <c r="E23" s="69">
        <f>=D23+E22</f>
        <v>-3076.43726366565</v>
      </c>
      <c r="F23" s="69">
        <f>=E23+F22</f>
        <v>-2684.05506165353</v>
      </c>
      <c r="G23" s="69">
        <f>=F23+G22</f>
        <v>-2293.68355440745</v>
      </c>
      <c r="H23" s="69">
        <f>=G23+H22</f>
        <v>-1905.50897893957</v>
      </c>
      <c r="I23" s="69">
        <f>=H23+I22</f>
        <v>-1521.43691247702</v>
      </c>
      <c r="J23" s="69">
        <f>=I23+J22</f>
        <v>-1141.31119599275</v>
      </c>
      <c r="K23" s="69">
        <f>=J23+K22</f>
        <v>-765.318107736881</v>
      </c>
      <c r="L23" s="69">
        <f>=K23+L22</f>
        <v>-393.64393956827</v>
      </c>
      <c r="M23" s="135">
        <f>=L23+M22</f>
        <v>-26.4749968864787</v>
      </c>
      <c r="N23" s="69">
        <f>=M23+N22</f>
        <v>334.935732685926</v>
      </c>
      <c r="O23" s="135">
        <f>=N23+O22</f>
        <v>2361.64487080327</v>
      </c>
    </row>
    <row r="24" spans="1:15" s="152" customFormat="true" ht="22" customHeight="true">
      <c r="A24" s="30">
        <v>10</v>
      </c>
      <c r="B24" s="13" t="s">
        <v>223</v>
      </c>
      <c r="C24" s="134">
        <f>=SUM(D24:O24)</f>
        <v>847.707722898194</v>
      </c>
      <c r="D24" s="69">
        <f>=D22/POWER(1.042,1)</f>
        <v>-3330.87326038004</v>
      </c>
      <c r="E24" s="69">
        <f>=E22/POWER(1.042,2)</f>
        <v>363.184516755344</v>
      </c>
      <c r="F24" s="69">
        <f>=F22/POWER(1.042,3)</f>
        <v>346.821604584033</v>
      </c>
      <c r="G24" s="69">
        <f>=G22/POWER(1.042,4)</f>
        <v>331.136638410553</v>
      </c>
      <c r="H24" s="69">
        <f>=H22/POWER(1.042,5)</f>
        <v>316.001025409706</v>
      </c>
      <c r="I24" s="69">
        <f>=I22/POWER(1.042,6)</f>
        <v>300.058827791793</v>
      </c>
      <c r="J24" s="69">
        <f>=J22/POWER(1.042,7)</f>
        <v>285.005485525814</v>
      </c>
      <c r="K24" s="69">
        <f>=K22/POWER(1.0425,8)</f>
        <v>269.507808349311</v>
      </c>
      <c r="L24" s="69">
        <f>=L22/POWER(1.042,9)</f>
        <v>256.656878170711</v>
      </c>
      <c r="M24" s="135">
        <f>=M22/POWER(1.042,10)</f>
        <v>243.326130196577</v>
      </c>
      <c r="N24" s="69">
        <f>=N22/POWER(1.042,11)</f>
        <v>229.856152645815</v>
      </c>
      <c r="O24" s="135">
        <f>=O22/POWER(1.042,12)</f>
        <v>1237.02591543857</v>
      </c>
    </row>
    <row r="25" spans="1:15" s="152" customFormat="true" ht="22" customHeight="true">
      <c r="A25" s="30">
        <v>11</v>
      </c>
      <c r="B25" s="13" t="s">
        <v>224</v>
      </c>
      <c r="C25" s="134" t="s"/>
      <c r="D25" s="69">
        <f>=D24</f>
        <v>-3330.87326038004</v>
      </c>
      <c r="E25" s="69">
        <f>=D25+E24</f>
        <v>-2967.68874362469</v>
      </c>
      <c r="F25" s="69">
        <f>=E25+F24</f>
        <v>-2620.86713904066</v>
      </c>
      <c r="G25" s="69">
        <f>=F25+G24</f>
        <v>-2289.73050063011</v>
      </c>
      <c r="H25" s="69">
        <f>=G25+H24</f>
        <v>-1973.7294752204</v>
      </c>
      <c r="I25" s="69">
        <f>=H25+I24</f>
        <v>-1673.67064742861</v>
      </c>
      <c r="J25" s="69">
        <f>=I25+J24</f>
        <v>-1388.66516190279</v>
      </c>
      <c r="K25" s="69">
        <f>=J25+K24</f>
        <v>-1119.15735355348</v>
      </c>
      <c r="L25" s="69">
        <f>=K25+L24</f>
        <v>-862.500475382773</v>
      </c>
      <c r="M25" s="135">
        <f>=L25+M24</f>
        <v>-619.174345186196</v>
      </c>
      <c r="N25" s="69">
        <f>=M25+N24</f>
        <v>-389.318192540381</v>
      </c>
      <c r="O25" s="135">
        <f>=N25+O24</f>
        <v>847.707722898194</v>
      </c>
    </row>
    <row r="26" spans="2:2">
      <c r="B26" s="137" t="s">
        <v>225</v>
      </c>
    </row>
    <row r="27" spans="2:12">
      <c r="B27" s="138" t="s">
        <v>230</v>
      </c>
      <c r="C27" s="138" t="s"/>
      <c r="D27" s="138" t="s"/>
      <c r="E27" s="138" t="s"/>
      <c r="F27" s="139">
        <f>=IRR(D17:O17)</f>
        <v>0.091054057812797</v>
      </c>
      <c r="G27" s="138" t="s"/>
      <c r="H27" s="137" t="s">
        <v>231</v>
      </c>
      <c r="L27" s="139">
        <f>=IRR(D22:O22,4.2%)</f>
        <v>0.078402138413733</v>
      </c>
    </row>
    <row r="28" spans="2:12">
      <c r="B28" s="138" t="s">
        <v>232</v>
      </c>
      <c r="C28" s="138" t="s"/>
      <c r="D28" s="138" t="s"/>
      <c r="E28" s="138" t="s"/>
      <c r="F28" s="140">
        <f>=O20</f>
        <v>1163.73342786443</v>
      </c>
      <c r="H28" s="137" t="s">
        <v>233</v>
      </c>
      <c r="L28" s="140">
        <f>=O25</f>
        <v>847.707722898194</v>
      </c>
    </row>
    <row r="29" spans="2:12">
      <c r="B29" s="138" t="s">
        <v>226</v>
      </c>
      <c r="C29" s="138" t="s"/>
      <c r="D29" s="138" t="s"/>
      <c r="E29" s="138" t="s"/>
      <c r="F29" s="140">
        <f>=12-1+ABS(N20)/O19</f>
        <v>11.0851633045822</v>
      </c>
      <c r="H29" s="137" t="s">
        <v>227</v>
      </c>
      <c r="L29" s="140">
        <f>=12-1+ABS(N25/O24)</f>
        <v>11.3147211288636</v>
      </c>
    </row>
    <row r="30" spans="6:6">
      <c r="F30" s="140" t="s"/>
    </row>
  </sheetData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>
  <sheetPr/>
  <dimension ref="U13"/>
  <sheetViews>
    <sheetView showGridLines="true" zoomScale="120" zoomScaleNormal="120" workbookViewId="0"/>
  </sheetViews>
  <sheetFormatPr defaultColWidth="8.62963" defaultRowHeight="14.4"/>
  <cols>
    <col min="1" max="1" width="4.12963" style="154" customWidth="true"/>
    <col min="2" max="2" width="9.62963" style="154" customWidth="true"/>
    <col min="3" max="3" width="9.37037" style="154"/>
    <col min="4" max="4" width="7.5" style="155" customWidth="true"/>
    <col min="5" max="6" width="7.87037" style="155" customWidth="true"/>
    <col min="7" max="16" width="7.87037" style="154" customWidth="true"/>
    <col min="17" max="20" width="8.62963" style="154"/>
  </cols>
  <sheetData>
    <row r="1" spans="1:14" ht="17.4">
      <c r="A1" s="95" t="s">
        <v>168</v>
      </c>
      <c r="B1" s="95" t="s"/>
      <c r="C1" s="95" t="s"/>
      <c r="D1" s="96" t="s"/>
      <c r="E1" s="96" t="s"/>
      <c r="F1" s="96" t="s"/>
      <c r="G1" s="95" t="s"/>
      <c r="H1" s="95" t="s"/>
      <c r="I1" s="95" t="s"/>
      <c r="J1" s="95" t="s"/>
      <c r="K1" s="95" t="s"/>
      <c r="L1" s="95" t="s"/>
      <c r="M1" s="95" t="s"/>
      <c r="N1" s="95" t="s"/>
    </row>
    <row r="2" spans="14:14" ht="16.15" customHeight="true">
      <c r="N2" s="97" t="s">
        <v>2</v>
      </c>
    </row>
    <row r="3" spans="1:16">
      <c r="A3" s="98" t="s">
        <v>3</v>
      </c>
      <c r="B3" s="99" t="s"/>
      <c r="C3" s="99" t="s"/>
      <c r="D3" s="100" t="s">
        <v>169</v>
      </c>
      <c r="E3" s="100" t="s"/>
      <c r="F3" s="100" t="s"/>
      <c r="G3" s="100" t="s"/>
      <c r="H3" s="100" t="s"/>
      <c r="I3" s="100" t="s"/>
      <c r="J3" s="100" t="s"/>
      <c r="K3" s="100" t="s"/>
      <c r="L3" s="100" t="s"/>
      <c r="M3" s="100" t="s"/>
      <c r="N3" s="100" t="s"/>
      <c r="O3" s="100" t="s"/>
      <c r="P3" s="100" t="s"/>
    </row>
    <row r="4" spans="1:16" ht="19.2">
      <c r="A4" s="98" t="s"/>
      <c r="B4" s="98" t="s">
        <v>229</v>
      </c>
      <c r="C4" s="98" t="s">
        <v>5</v>
      </c>
      <c r="D4" s="101" t="s">
        <v>170</v>
      </c>
      <c r="E4" s="102">
        <v>0.5</v>
      </c>
      <c r="F4" s="101">
        <v>2</v>
      </c>
      <c r="G4" s="101">
        <v>3</v>
      </c>
      <c r="H4" s="101">
        <v>4</v>
      </c>
      <c r="I4" s="101">
        <v>5</v>
      </c>
      <c r="J4" s="101">
        <v>6</v>
      </c>
      <c r="K4" s="101">
        <v>7</v>
      </c>
      <c r="L4" s="101">
        <v>8</v>
      </c>
      <c r="M4" s="101">
        <v>9</v>
      </c>
      <c r="N4" s="101">
        <v>10</v>
      </c>
      <c r="O4" s="101">
        <v>11</v>
      </c>
      <c r="P4" s="101">
        <v>12</v>
      </c>
    </row>
    <row r="5" spans="1:16" ht="12.95" customHeight="true">
      <c r="A5" s="103">
        <v>1</v>
      </c>
      <c r="B5" s="104" t="s">
        <v>80</v>
      </c>
      <c r="C5" s="105">
        <f>=SUM(D5:N5)</f>
        <v>3200</v>
      </c>
      <c r="D5" s="106">
        <f>=3200</f>
        <v>3200</v>
      </c>
      <c r="E5" s="106" t="s"/>
      <c r="F5" s="106" t="s"/>
      <c r="G5" s="106" t="s"/>
      <c r="H5" s="106" t="s"/>
      <c r="I5" s="106" t="s"/>
      <c r="J5" s="106" t="s"/>
      <c r="K5" s="106" t="s"/>
      <c r="L5" s="106" t="s"/>
      <c r="M5" s="106" t="s"/>
      <c r="N5" s="106" t="s"/>
      <c r="O5" s="106" t="s"/>
      <c r="P5" s="106" t="s"/>
    </row>
    <row r="6" spans="1:16">
      <c r="A6" s="107">
        <v>1.1</v>
      </c>
      <c r="B6" s="104" t="s">
        <v>171</v>
      </c>
      <c r="C6" s="105">
        <f>=SUM(D6:P6)</f>
        <v>23460</v>
      </c>
      <c r="D6" s="106" t="s"/>
      <c r="E6" s="106">
        <f>=D10</f>
        <v>3200</v>
      </c>
      <c r="F6" s="106">
        <f>=E10</f>
        <v>3100</v>
      </c>
      <c r="G6" s="106">
        <f>=F10</f>
        <v>2880</v>
      </c>
      <c r="H6" s="106">
        <f>=G10</f>
        <v>2660</v>
      </c>
      <c r="I6" s="106">
        <f>=H10</f>
        <v>2430</v>
      </c>
      <c r="J6" s="106">
        <f>=I10</f>
        <v>2180</v>
      </c>
      <c r="K6" s="106">
        <f>=J10</f>
        <v>1910</v>
      </c>
      <c r="L6" s="106">
        <f>=K10</f>
        <v>1640</v>
      </c>
      <c r="M6" s="106">
        <f>=L10</f>
        <v>1340</v>
      </c>
      <c r="N6" s="106">
        <f>=M10</f>
        <v>1040</v>
      </c>
      <c r="O6" s="106">
        <f>=N10</f>
        <v>710</v>
      </c>
      <c r="P6" s="106">
        <f>=O10</f>
        <v>370</v>
      </c>
    </row>
    <row r="7" spans="1:16" ht="12.95" customHeight="true">
      <c r="A7" s="107">
        <v>1.2</v>
      </c>
      <c r="B7" s="104" t="s">
        <v>172</v>
      </c>
      <c r="C7" s="105">
        <f>=SUM(D7:P7)</f>
        <v>4262.684</v>
      </c>
      <c r="D7" s="106">
        <f>=D8+D9</f>
        <v>40.32</v>
      </c>
      <c r="E7" s="106">
        <f>=E8+E9</f>
        <v>179.38</v>
      </c>
      <c r="F7" s="106">
        <f>=F8+F9</f>
        <v>370.696</v>
      </c>
      <c r="G7" s="106">
        <f>=G8+G9</f>
        <v>359.608</v>
      </c>
      <c r="H7" s="106">
        <f>=H8+H9</f>
        <v>358.268</v>
      </c>
      <c r="I7" s="106">
        <f>=I8+I9</f>
        <v>366.172</v>
      </c>
      <c r="J7" s="106">
        <f>=J8+J9</f>
        <v>373.068</v>
      </c>
      <c r="K7" s="106">
        <f>=K8+K9</f>
        <v>359.46</v>
      </c>
      <c r="L7" s="106">
        <f>=L8+L9</f>
        <v>375.096</v>
      </c>
      <c r="M7" s="106">
        <f>=M8+M9</f>
        <v>359.976</v>
      </c>
      <c r="N7" s="106">
        <f>=N8+N9</f>
        <v>374.1</v>
      </c>
      <c r="O7" s="106">
        <f>=O8+O9</f>
        <v>367.216</v>
      </c>
      <c r="P7" s="106">
        <f>=P8+P9</f>
        <v>379.324</v>
      </c>
    </row>
    <row r="8" spans="1:16" ht="14.1" customHeight="true">
      <c r="A8" s="107" t="s"/>
      <c r="B8" s="105" t="s">
        <v>173</v>
      </c>
      <c r="C8" s="105">
        <f>=SUM(D8:P8)</f>
        <v>3200</v>
      </c>
      <c r="D8" s="106" t="s"/>
      <c r="E8" s="106">
        <v>100</v>
      </c>
      <c r="F8" s="106">
        <v>220</v>
      </c>
      <c r="G8" s="106">
        <v>220</v>
      </c>
      <c r="H8" s="106">
        <f>=230</f>
        <v>230</v>
      </c>
      <c r="I8" s="106">
        <f>=250</f>
        <v>250</v>
      </c>
      <c r="J8" s="106">
        <f>=270</f>
        <v>270</v>
      </c>
      <c r="K8" s="106">
        <f>=J8</f>
        <v>270</v>
      </c>
      <c r="L8" s="106">
        <f>=300</f>
        <v>300</v>
      </c>
      <c r="M8" s="106">
        <f>=300</f>
        <v>300</v>
      </c>
      <c r="N8" s="106">
        <f>=330</f>
        <v>330</v>
      </c>
      <c r="O8" s="106">
        <f>=340</f>
        <v>340</v>
      </c>
      <c r="P8" s="106">
        <f>=370</f>
        <v>370</v>
      </c>
    </row>
    <row r="9" spans="1:16">
      <c r="A9" s="107" t="s"/>
      <c r="B9" s="108" t="s">
        <v>174</v>
      </c>
      <c r="C9" s="105">
        <f>=SUM(D9:P9)</f>
        <v>1062.684</v>
      </c>
      <c r="D9" s="106">
        <f>=D5*0.0504*0.25</f>
        <v>40.32</v>
      </c>
      <c r="E9" s="106">
        <f>=(E6+F6)/2*0.0504*0.5</f>
        <v>79.38</v>
      </c>
      <c r="F9" s="106">
        <f>=(F6+G6)/2*0.0504</f>
        <v>150.696</v>
      </c>
      <c r="G9" s="106">
        <f>=(G6+H6)/2*0.0504</f>
        <v>139.608</v>
      </c>
      <c r="H9" s="106">
        <f>=(H6+I6)/2*0.0504</f>
        <v>128.268</v>
      </c>
      <c r="I9" s="106">
        <f>=(I6+J6)/2*0.0504</f>
        <v>116.172</v>
      </c>
      <c r="J9" s="106">
        <f>=(J6+K6)/2*0.0504</f>
        <v>103.068</v>
      </c>
      <c r="K9" s="106">
        <f>=(K6+L6)/2*0.0504</f>
        <v>89.46</v>
      </c>
      <c r="L9" s="106">
        <f>=(L6+M6)/2*0.0504</f>
        <v>75.096</v>
      </c>
      <c r="M9" s="106">
        <f>=(M6+N6)/2*0.0504</f>
        <v>59.976</v>
      </c>
      <c r="N9" s="106">
        <f>=(N6+O6)/2*0.0504</f>
        <v>44.1</v>
      </c>
      <c r="O9" s="106">
        <f>=(O6+P6)/2*0.0504</f>
        <v>27.216</v>
      </c>
      <c r="P9" s="106">
        <f>=P6/2*0.0504</f>
        <v>9.324</v>
      </c>
    </row>
    <row r="10" spans="1:16">
      <c r="A10" s="107">
        <v>1.3</v>
      </c>
      <c r="B10" s="104" t="s">
        <v>175</v>
      </c>
      <c r="C10" s="105" t="s"/>
      <c r="D10" s="106">
        <f>=D5</f>
        <v>3200</v>
      </c>
      <c r="E10" s="106">
        <f>=E6-E8</f>
        <v>3100</v>
      </c>
      <c r="F10" s="106">
        <f>=F6-F8</f>
        <v>2880</v>
      </c>
      <c r="G10" s="106">
        <f>=G6-G8</f>
        <v>2660</v>
      </c>
      <c r="H10" s="106">
        <f>=H6-H8</f>
        <v>2430</v>
      </c>
      <c r="I10" s="106">
        <f>=I6-I8</f>
        <v>2180</v>
      </c>
      <c r="J10" s="106">
        <f>=J6-J8</f>
        <v>1910</v>
      </c>
      <c r="K10" s="106">
        <f>=K6-K8</f>
        <v>1640</v>
      </c>
      <c r="L10" s="106">
        <f>=L6-L8</f>
        <v>1340</v>
      </c>
      <c r="M10" s="106">
        <f>=M6-M8</f>
        <v>1040</v>
      </c>
      <c r="N10" s="106">
        <f>=N6-N8</f>
        <v>710</v>
      </c>
      <c r="O10" s="106">
        <f>=O6-O8</f>
        <v>370</v>
      </c>
      <c r="P10" s="106">
        <f>=P6-P8</f>
        <v>0</v>
      </c>
    </row>
    <row r="11" spans="1:16" ht="19.9" customHeight="true">
      <c r="A11" s="103">
        <v>4</v>
      </c>
      <c r="B11" s="105" t="s">
        <v>176</v>
      </c>
      <c r="C11" s="105">
        <f>=SUM(D11:P11)</f>
        <v>4804.36626152323</v>
      </c>
      <c r="D11" s="106" t="s"/>
      <c r="E11" s="106">
        <f>=利润及利润分配表!D26</f>
        <v>210.3370272736</v>
      </c>
      <c r="F11" s="106">
        <f>=利润及利润分配表!E26</f>
        <v>417.260704594464</v>
      </c>
      <c r="G11" s="106">
        <f>=利润及利润分配表!F26</f>
        <v>418.356075743492</v>
      </c>
      <c r="H11" s="106">
        <f>=利润及利润分配表!G26</f>
        <v>419.455149388774</v>
      </c>
      <c r="I11" s="106">
        <f>=利润及利润分配表!H26</f>
        <v>420.55790701783</v>
      </c>
      <c r="J11" s="106">
        <f>=利润及利润分配表!I26</f>
        <v>419.455895010741</v>
      </c>
      <c r="K11" s="106">
        <f>=利润及利润分配表!J26</f>
        <v>418.730095039688</v>
      </c>
      <c r="L11" s="106">
        <f>=利润及利润分配表!K26</f>
        <v>418.007924068489</v>
      </c>
      <c r="M11" s="106">
        <f>=利润及利润分配表!L26</f>
        <v>417.289363952147</v>
      </c>
      <c r="N11" s="106">
        <f>=利润及利润分配表!M26</f>
        <v>416.574396636386</v>
      </c>
      <c r="O11" s="106">
        <f>=利润及利润分配表!N26</f>
        <v>414.524779157204</v>
      </c>
      <c r="P11" s="106">
        <f>=利润及利润分配表!O26</f>
        <v>413.816943640418</v>
      </c>
    </row>
    <row r="12" spans="1:16">
      <c r="A12" s="109" t="s">
        <v>177</v>
      </c>
      <c r="B12" s="105" t="s">
        <v>178</v>
      </c>
      <c r="C12" s="104">
        <f>=C11/C9</f>
        <v>4.52097355518972</v>
      </c>
      <c r="D12" s="106" t="s"/>
      <c r="E12" s="106">
        <f>=E11/E9</f>
        <v>2.64974839094986</v>
      </c>
      <c r="F12" s="106">
        <f>=F11/F9</f>
        <v>2.76889037926995</v>
      </c>
      <c r="G12" s="106">
        <f>=G11/G9</f>
        <v>2.99664829911962</v>
      </c>
      <c r="H12" s="106">
        <f>=H11/H9</f>
        <v>3.270146485396</v>
      </c>
      <c r="I12" s="106">
        <f>=I11/I9</f>
        <v>3.62013141736245</v>
      </c>
      <c r="J12" s="106">
        <f>=J11/J9</f>
        <v>4.06970053761343</v>
      </c>
      <c r="K12" s="106">
        <f>=K11/K9</f>
        <v>4.68064045427775</v>
      </c>
      <c r="L12" s="106">
        <f>=L11/L9</f>
        <v>5.56631410552478</v>
      </c>
      <c r="M12" s="106">
        <f>=M11/M9</f>
        <v>6.95760577484572</v>
      </c>
      <c r="N12" s="106">
        <f>=N11/N9</f>
        <v>9.44613144300195</v>
      </c>
      <c r="O12" s="106">
        <f>=O11/O9</f>
        <v>15.2309222206498</v>
      </c>
      <c r="P12" s="106">
        <f>=P11/P9</f>
        <v>44.3819115873464</v>
      </c>
    </row>
    <row r="13" spans="1:16">
      <c r="A13" s="109" t="s"/>
      <c r="B13" s="105" t="s">
        <v>179</v>
      </c>
      <c r="C13" s="104">
        <f>=C11/C7</f>
        <v>1.12707539698538</v>
      </c>
      <c r="D13" s="106" t="s"/>
      <c r="E13" s="106">
        <f>=E11/E7</f>
        <v>1.1725779199108</v>
      </c>
      <c r="F13" s="106">
        <f>=F11/F7</f>
        <v>1.1256142623456</v>
      </c>
      <c r="G13" s="106">
        <f>=G11/G7</f>
        <v>1.16336698778529</v>
      </c>
      <c r="H13" s="106">
        <f>=H11/H7</f>
        <v>1.17078597415559</v>
      </c>
      <c r="I13" s="106">
        <f>=I11/I7</f>
        <v>1.14852557546134</v>
      </c>
      <c r="J13" s="106">
        <f>=J11/J7</f>
        <v>1.12434166160255</v>
      </c>
      <c r="K13" s="106">
        <f>=K11/K7</f>
        <v>1.16488648261194</v>
      </c>
      <c r="L13" s="106">
        <f>=L11/L7</f>
        <v>1.11440251047329</v>
      </c>
      <c r="M13" s="106">
        <f>=M11/M7</f>
        <v>1.1592144030495</v>
      </c>
      <c r="N13" s="106">
        <f>=N11/N7</f>
        <v>1.11353754781178</v>
      </c>
      <c r="O13" s="106">
        <f>=O11/O7</f>
        <v>1.12883093099757</v>
      </c>
      <c r="P13" s="106">
        <f>=P11/P7</f>
        <v>1.09093266874866</v>
      </c>
    </row>
  </sheetData>
  <mergeCells count="4">
    <mergeCell ref="A1:N1"/>
    <mergeCell ref="D3:P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>
  <sheetPr/>
  <dimension ref="N33"/>
  <sheetViews>
    <sheetView showGridLines="true" workbookViewId="0"/>
  </sheetViews>
  <sheetFormatPr defaultColWidth="8.88889" defaultRowHeight="14.4"/>
  <cols>
    <col min="1" max="1" width="7.22222" customWidth="true"/>
    <col min="2" max="2" width="17.6667" customWidth="true"/>
    <col min="3" max="13" width="10.5556" customWidth="true"/>
  </cols>
  <sheetData>
    <row r="1" spans="1:13" ht="26" customHeight="true">
      <c r="A1" s="35" t="s">
        <v>52</v>
      </c>
      <c r="B1" s="35" t="s"/>
      <c r="C1" s="35" t="s"/>
      <c r="D1" s="35" t="s"/>
      <c r="E1" s="35" t="s"/>
      <c r="F1" s="35" t="s"/>
      <c r="G1" s="35" t="s"/>
      <c r="H1" s="35" t="s"/>
      <c r="I1" s="35" t="s"/>
      <c r="J1" s="35" t="s"/>
      <c r="K1" s="35" t="s"/>
      <c r="L1" s="35" t="s"/>
      <c r="M1" s="35" t="s"/>
    </row>
    <row r="2" spans="1:19" ht="15.9" customHeight="true">
      <c r="A2" s="36" t="s">
        <v>3</v>
      </c>
      <c r="B2" s="37" t="s">
        <v>4</v>
      </c>
      <c r="C2" s="38" t="s">
        <v>53</v>
      </c>
      <c r="D2" s="38" t="s"/>
      <c r="E2" s="38" t="s"/>
      <c r="F2" s="38" t="s"/>
      <c r="G2" s="38" t="s"/>
      <c r="H2" s="38" t="s"/>
      <c r="I2" s="38" t="s"/>
      <c r="J2" s="38" t="s"/>
      <c r="K2" s="38" t="s"/>
      <c r="L2" s="38" t="s"/>
      <c r="M2" s="39" t="s"/>
      <c r="N2" s="39" t="s"/>
      <c r="O2" s="39" t="s"/>
      <c r="P2" s="39" t="s"/>
      <c r="Q2" s="39" t="s"/>
      <c r="R2" s="39" t="s"/>
      <c r="S2" s="39" t="s"/>
    </row>
    <row r="3" spans="1:19">
      <c r="A3" s="36" t="s"/>
      <c r="B3" s="37" t="s"/>
      <c r="C3" s="40">
        <v>1</v>
      </c>
      <c r="D3" s="40">
        <v>2</v>
      </c>
      <c r="E3" s="40">
        <v>3</v>
      </c>
      <c r="F3" s="40">
        <v>4</v>
      </c>
      <c r="G3" s="40">
        <v>5</v>
      </c>
      <c r="H3" s="40">
        <v>6</v>
      </c>
      <c r="I3" s="40">
        <v>7</v>
      </c>
      <c r="J3" s="40">
        <v>8</v>
      </c>
      <c r="K3" s="40">
        <v>9</v>
      </c>
      <c r="L3" s="40">
        <v>10</v>
      </c>
      <c r="M3" s="41" t="s"/>
      <c r="N3" s="41" t="s"/>
      <c r="O3" s="41" t="s"/>
      <c r="P3" s="41" t="s"/>
      <c r="Q3" s="41" t="s"/>
      <c r="R3" s="41" t="s"/>
      <c r="S3" s="41" t="s"/>
    </row>
    <row r="4" spans="1:19">
      <c r="A4" s="36">
        <v>1</v>
      </c>
      <c r="B4" s="42" t="s">
        <v>54</v>
      </c>
      <c r="C4" s="43">
        <f>=C5-C9</f>
        <v>563.519867027851</v>
      </c>
      <c r="D4" s="43">
        <f>=D5-D9</f>
        <v>394.33267365035</v>
      </c>
      <c r="E4" s="43">
        <f>=E5-E9</f>
        <v>392.38220201212</v>
      </c>
      <c r="F4" s="43">
        <f>=F5-F9</f>
        <v>390.371507246082</v>
      </c>
      <c r="G4" s="43">
        <f>=G5-G9</f>
        <v>388.174575467874</v>
      </c>
      <c r="H4" s="43">
        <f>=H5-H9</f>
        <v>384.072066462558</v>
      </c>
      <c r="I4" s="43">
        <f>=I5-I9</f>
        <v>380.125716484267</v>
      </c>
      <c r="J4" s="43">
        <f>=J5-J9</f>
        <v>375.993088255868</v>
      </c>
      <c r="K4" s="43">
        <f>=K5-K9</f>
        <v>371.674168168612</v>
      </c>
      <c r="L4" s="43">
        <f>=L5-L9</f>
        <v>367.168942681791</v>
      </c>
      <c r="M4" s="44" t="s"/>
      <c r="N4" s="41" t="s"/>
      <c r="O4" s="41" t="s"/>
      <c r="P4" s="41" t="s"/>
      <c r="Q4" s="41" t="s"/>
      <c r="R4" s="41" t="s"/>
      <c r="S4" s="41" t="s"/>
    </row>
    <row r="5" spans="1:19">
      <c r="A5" s="36">
        <v>1.1</v>
      </c>
      <c r="B5" s="42" t="s">
        <v>55</v>
      </c>
      <c r="C5" s="43">
        <f>=SUM(C6:C8)</f>
        <v>655.9858087704</v>
      </c>
      <c r="D5" s="43">
        <f>=SUM(D6:D8)</f>
        <v>584.813686752</v>
      </c>
      <c r="E5" s="43">
        <f>=SUM(E6:E8)</f>
        <v>585.79176631824</v>
      </c>
      <c r="F5" s="43">
        <f>=SUM(F6:F8)</f>
        <v>586.774783486649</v>
      </c>
      <c r="G5" s="43">
        <f>=SUM(G6:G8)</f>
        <v>587.762713569216</v>
      </c>
      <c r="H5" s="43">
        <f>=SUM(H6:H8)</f>
        <v>587.77273200137</v>
      </c>
      <c r="I5" s="43">
        <f>=SUM(I6:I8)</f>
        <v>586.804814341363</v>
      </c>
      <c r="J5" s="43">
        <f>=SUM(J6:J8)</f>
        <v>585.841736269656</v>
      </c>
      <c r="K5" s="43">
        <f>=SUM(K6:K8)</f>
        <v>584.883473588308</v>
      </c>
      <c r="L5" s="43">
        <f>=SUM(L6:L8)</f>
        <v>583.930002220366</v>
      </c>
      <c r="M5" s="44" t="s"/>
      <c r="N5" s="41" t="s"/>
      <c r="O5" s="41" t="s"/>
      <c r="P5" s="41" t="s"/>
      <c r="Q5" s="41" t="s"/>
      <c r="R5" s="41" t="s"/>
      <c r="S5" s="41" t="s"/>
    </row>
    <row r="6" spans="1:19">
      <c r="A6" s="36" t="s">
        <v>56</v>
      </c>
      <c r="B6" s="42" t="s">
        <v>30</v>
      </c>
      <c r="C6" s="43">
        <f>=营业收入及税金表!D5</f>
        <v>291.9202848</v>
      </c>
      <c r="D6" s="43">
        <f>=营业收入及税金表!E5</f>
        <v>584.813686752</v>
      </c>
      <c r="E6" s="43">
        <f>=营业收入及税金表!F5</f>
        <v>585.79176631824</v>
      </c>
      <c r="F6" s="43">
        <f>=营业收入及税金表!G5</f>
        <v>586.774783486649</v>
      </c>
      <c r="G6" s="43">
        <f>=营业收入及税金表!H5</f>
        <v>587.762713569216</v>
      </c>
      <c r="H6" s="43">
        <f>=营业收入及税金表!I5</f>
        <v>587.77273200137</v>
      </c>
      <c r="I6" s="43">
        <f>=营业收入及税金表!J5</f>
        <v>586.804814341363</v>
      </c>
      <c r="J6" s="43">
        <f>=营业收入及税金表!K5</f>
        <v>585.841736269656</v>
      </c>
      <c r="K6" s="43">
        <f>=营业收入及税金表!L5</f>
        <v>584.883473588308</v>
      </c>
      <c r="L6" s="43">
        <f>=营业收入及税金表!M5</f>
        <v>583.930002220366</v>
      </c>
      <c r="M6" s="44" t="s"/>
      <c r="N6" s="41" t="s"/>
      <c r="O6" s="41" t="s"/>
      <c r="P6" s="41" t="s"/>
      <c r="Q6" s="41" t="s"/>
      <c r="R6" s="41" t="s"/>
      <c r="S6" s="41" t="s"/>
    </row>
    <row r="7" spans="1:19">
      <c r="A7" s="36" t="s">
        <v>57</v>
      </c>
      <c r="B7" s="42" t="s">
        <v>34</v>
      </c>
      <c r="C7" s="43">
        <f>=项目投资现金流量表!D7</f>
        <v>364.0655239704</v>
      </c>
      <c r="D7" s="43" t="s"/>
      <c r="E7" s="43" t="s"/>
      <c r="F7" s="43" t="s"/>
      <c r="G7" s="43" t="s"/>
      <c r="H7" s="43" t="s"/>
      <c r="I7" s="43" t="s"/>
      <c r="J7" s="43" t="s"/>
      <c r="K7" s="43" t="s"/>
      <c r="L7" s="43" t="s"/>
      <c r="M7" s="44" t="s"/>
      <c r="N7" s="41" t="s"/>
      <c r="O7" s="41" t="s"/>
      <c r="P7" s="41" t="s"/>
      <c r="Q7" s="41" t="s"/>
      <c r="R7" s="41" t="s"/>
      <c r="S7" s="41" t="s"/>
    </row>
    <row r="8" spans="1:19">
      <c r="A8" s="36" t="s">
        <v>58</v>
      </c>
      <c r="B8" s="42" t="s">
        <v>59</v>
      </c>
      <c r="C8" s="43" t="s"/>
      <c r="D8" s="43" t="s"/>
      <c r="E8" s="43" t="s"/>
      <c r="F8" s="43" t="s"/>
      <c r="G8" s="43" t="s"/>
      <c r="H8" s="43" t="s"/>
      <c r="I8" s="43" t="s"/>
      <c r="J8" s="43" t="s"/>
      <c r="K8" s="43" t="s"/>
      <c r="L8" s="43" t="s"/>
      <c r="M8" s="44" t="s"/>
      <c r="N8" s="41" t="s"/>
      <c r="O8" s="41" t="s"/>
      <c r="P8" s="41" t="s"/>
      <c r="Q8" s="41" t="s"/>
      <c r="R8" s="41" t="s"/>
      <c r="S8" s="41" t="s"/>
    </row>
    <row r="9" spans="1:19">
      <c r="A9" s="36">
        <v>1.2</v>
      </c>
      <c r="B9" s="42" t="s">
        <v>60</v>
      </c>
      <c r="C9" s="43">
        <f>=SUM(C10:C13)</f>
        <v>92.4659417425493</v>
      </c>
      <c r="D9" s="43">
        <f>=SUM(D10:D13)</f>
        <v>190.481013101651</v>
      </c>
      <c r="E9" s="43">
        <f>=SUM(E10:E13)</f>
        <v>193.40956430612</v>
      </c>
      <c r="F9" s="43">
        <f>=SUM(F10:F13)</f>
        <v>196.403276240567</v>
      </c>
      <c r="G9" s="43">
        <f>=SUM(G10:G13)</f>
        <v>199.588138101341</v>
      </c>
      <c r="H9" s="43">
        <f>=SUM(H10:H13)</f>
        <v>203.700665538812</v>
      </c>
      <c r="I9" s="43">
        <f>=SUM(I10:I13)</f>
        <v>206.679097857096</v>
      </c>
      <c r="J9" s="43">
        <f>=SUM(J10:J13)</f>
        <v>209.848648013788</v>
      </c>
      <c r="K9" s="43">
        <f>=SUM(K10:K13)</f>
        <v>213.209305419696</v>
      </c>
      <c r="L9" s="43">
        <f>=SUM(L10:L13)</f>
        <v>216.761059538575</v>
      </c>
      <c r="M9" s="44" t="s"/>
      <c r="N9" s="41" t="s"/>
      <c r="O9" s="41" t="s"/>
      <c r="P9" s="41" t="s"/>
      <c r="Q9" s="41" t="s"/>
      <c r="R9" s="41" t="s"/>
      <c r="S9" s="41" t="s"/>
    </row>
    <row r="10" spans="1:19">
      <c r="A10" s="36" t="s">
        <v>61</v>
      </c>
      <c r="B10" s="42" t="s">
        <v>62</v>
      </c>
      <c r="C10" s="43">
        <f>=总成本费用表!D11</f>
        <v>41.4612448</v>
      </c>
      <c r="D10" s="43">
        <f>=总成本费用表!E11</f>
        <v>87.816152152</v>
      </c>
      <c r="E10" s="43">
        <f>=总成本费用表!F11</f>
        <v>87.71034639124</v>
      </c>
      <c r="F10" s="43">
        <f>=总成本费用表!G11</f>
        <v>87.6050696592838</v>
      </c>
      <c r="G10" s="43">
        <f>=总成本费用表!H11</f>
        <v>87.5003193109874</v>
      </c>
      <c r="H10" s="43">
        <f>=总成本费用表!I11</f>
        <v>88.7360927144325</v>
      </c>
      <c r="I10" s="43">
        <f>=总成本费用表!J11</f>
        <v>88.6323872508603</v>
      </c>
      <c r="J10" s="43">
        <f>=总成本费用表!K11</f>
        <v>88.529200314606</v>
      </c>
      <c r="K10" s="43">
        <f>=总成本费用表!L11</f>
        <v>88.426529313033</v>
      </c>
      <c r="L10" s="43">
        <f>=总成本费用表!M11</f>
        <v>88.3243716664678</v>
      </c>
      <c r="M10" s="44" t="s"/>
      <c r="N10" s="41" t="s"/>
      <c r="O10" s="41" t="s"/>
      <c r="P10" s="41" t="s"/>
      <c r="Q10" s="41" t="s"/>
      <c r="R10" s="41" t="s"/>
      <c r="S10" s="41" t="s"/>
    </row>
    <row r="11" spans="1:19">
      <c r="A11" s="36" t="s">
        <v>63</v>
      </c>
      <c r="B11" s="42" t="s">
        <v>64</v>
      </c>
      <c r="C11" s="43">
        <f>=利润及利润分配表!D6+利润及利润分配表!D7</f>
        <v>40.1220127264</v>
      </c>
      <c r="D11" s="43">
        <f>=利润及利润分配表!E6+利润及利润分配表!E7</f>
        <v>79.7368300055361</v>
      </c>
      <c r="E11" s="43">
        <f>=利润及利润分配表!F6+利润及利润分配表!F7</f>
        <v>79.7253441835083</v>
      </c>
      <c r="F11" s="43">
        <f>=利润及利润分配表!G6+利润及利润分配表!G7</f>
        <v>79.7145644385908</v>
      </c>
      <c r="G11" s="43">
        <f>=利润及利润分配表!H6+利润及利润分配表!H7</f>
        <v>79.7044872403979</v>
      </c>
      <c r="H11" s="43">
        <f>=利润及利润分配表!I6+利润及利润分配表!I7</f>
        <v>79.5807442761959</v>
      </c>
      <c r="I11" s="43">
        <f>=利润及利润分配表!J6+利润及利润分配表!J7</f>
        <v>79.4423320508149</v>
      </c>
      <c r="J11" s="43">
        <f>=利润及利润分配表!K6+利润及利润分配表!K7</f>
        <v>79.3046118865608</v>
      </c>
      <c r="K11" s="43">
        <f>=利润及利润分配表!L6+利润及利润分配表!L7</f>
        <v>79.167580323128</v>
      </c>
      <c r="L11" s="43">
        <f>=利润及利润分配表!M6+利润及利润分配表!M7</f>
        <v>79.0312339175124</v>
      </c>
      <c r="M11" s="44" t="s"/>
      <c r="N11" s="41" t="s"/>
      <c r="O11" s="41" t="s"/>
      <c r="P11" s="41" t="s"/>
      <c r="Q11" s="41" t="s"/>
      <c r="R11" s="41" t="s"/>
      <c r="S11" s="41" t="s"/>
    </row>
    <row r="12" spans="1:19">
      <c r="A12" s="36" t="s">
        <v>65</v>
      </c>
      <c r="B12" s="42" t="s">
        <v>38</v>
      </c>
      <c r="C12" s="43">
        <f>=利润及利润分配表!D13</f>
        <v>10.8826842161492</v>
      </c>
      <c r="D12" s="43">
        <f>=利润及利润分配表!E13</f>
        <v>22.9280309441145</v>
      </c>
      <c r="E12" s="43">
        <f>=利润及利润分配表!F13</f>
        <v>25.9738737313714</v>
      </c>
      <c r="F12" s="43">
        <f>=利润及利润分配表!G13</f>
        <v>29.0836421426921</v>
      </c>
      <c r="G12" s="43">
        <f>=利润及利润分配表!H13</f>
        <v>32.3833315499561</v>
      </c>
      <c r="H12" s="43">
        <f>=利润及利润分配表!I13</f>
        <v>35.3838285481838</v>
      </c>
      <c r="I12" s="43">
        <f>=利润及利润分配表!J13</f>
        <v>38.6043785554204</v>
      </c>
      <c r="J12" s="43">
        <f>=利润及利润分配表!K13</f>
        <v>42.0148358126208</v>
      </c>
      <c r="K12" s="43">
        <f>=利润及利润分配表!L13</f>
        <v>45.6151957835352</v>
      </c>
      <c r="L12" s="43">
        <f>=利润及利润分配表!M13</f>
        <v>49.405453954595</v>
      </c>
      <c r="M12" s="44" t="s"/>
      <c r="N12" s="41" t="s"/>
      <c r="O12" s="41" t="s"/>
      <c r="P12" s="41" t="s"/>
      <c r="Q12" s="41" t="s"/>
      <c r="R12" s="41" t="s"/>
      <c r="S12" s="41" t="s"/>
    </row>
    <row r="13" spans="1:19">
      <c r="A13" s="36" t="s">
        <v>66</v>
      </c>
      <c r="B13" s="42" t="s">
        <v>67</v>
      </c>
      <c r="C13" s="43" t="s"/>
      <c r="D13" s="43" t="s"/>
      <c r="E13" s="43" t="s"/>
      <c r="F13" s="43" t="s"/>
      <c r="G13" s="43" t="s"/>
      <c r="H13" s="43" t="s"/>
      <c r="I13" s="43" t="s"/>
      <c r="J13" s="43" t="s"/>
      <c r="K13" s="43" t="s"/>
      <c r="L13" s="43" t="s"/>
      <c r="M13" s="44" t="s"/>
      <c r="N13" s="41" t="s"/>
      <c r="O13" s="41" t="s"/>
      <c r="P13" s="41" t="s"/>
      <c r="Q13" s="41" t="s"/>
      <c r="R13" s="41" t="s"/>
      <c r="S13" s="41" t="s"/>
    </row>
    <row r="14" spans="1:19">
      <c r="A14" s="36">
        <v>2</v>
      </c>
      <c r="B14" s="42" t="s">
        <v>68</v>
      </c>
      <c r="C14" s="43">
        <f>=C15-C16</f>
        <v>-4085.49248856</v>
      </c>
      <c r="D14" s="43" t="s"/>
      <c r="E14" s="43" t="s"/>
      <c r="F14" s="43" t="s"/>
      <c r="G14" s="43" t="s"/>
      <c r="H14" s="43" t="s"/>
      <c r="I14" s="43" t="s"/>
      <c r="J14" s="43" t="s"/>
      <c r="K14" s="43" t="s"/>
      <c r="L14" s="43" t="s"/>
      <c r="M14" s="44" t="s"/>
      <c r="N14" s="41" t="s"/>
      <c r="O14" s="41" t="s"/>
      <c r="P14" s="41" t="s"/>
      <c r="Q14" s="41" t="s"/>
      <c r="R14" s="41" t="s"/>
      <c r="S14" s="41" t="s"/>
    </row>
    <row r="15" spans="1:19">
      <c r="A15" s="36">
        <v>2.1</v>
      </c>
      <c r="B15" s="42" t="s">
        <v>55</v>
      </c>
      <c r="C15" s="43">
        <v>0</v>
      </c>
      <c r="D15" s="43" t="s"/>
      <c r="E15" s="43" t="s"/>
      <c r="F15" s="43" t="s"/>
      <c r="G15" s="43" t="s"/>
      <c r="H15" s="43" t="s"/>
      <c r="I15" s="43" t="s"/>
      <c r="J15" s="43" t="s"/>
      <c r="K15" s="43" t="s"/>
      <c r="L15" s="43" t="s"/>
      <c r="M15" s="44" t="s"/>
      <c r="N15" s="41" t="s"/>
      <c r="O15" s="41" t="s"/>
      <c r="P15" s="41" t="s"/>
      <c r="Q15" s="41" t="s"/>
      <c r="R15" s="41" t="s"/>
      <c r="S15" s="41" t="s"/>
    </row>
    <row r="16" spans="1:19">
      <c r="A16" s="36">
        <v>2.2</v>
      </c>
      <c r="B16" s="42" t="s">
        <v>60</v>
      </c>
      <c r="C16" s="43">
        <f>=SUM(C17:C20)</f>
        <v>4085.49248856</v>
      </c>
      <c r="D16" s="43" t="s"/>
      <c r="E16" s="43" t="s"/>
      <c r="F16" s="43" t="s"/>
      <c r="G16" s="43" t="s"/>
      <c r="H16" s="43" t="s"/>
      <c r="I16" s="43" t="s"/>
      <c r="J16" s="43" t="s"/>
      <c r="K16" s="43" t="s"/>
      <c r="L16" s="43" t="s"/>
      <c r="M16" s="44" t="s"/>
      <c r="N16" s="41" t="s"/>
      <c r="O16" s="41" t="s"/>
      <c r="P16" s="41" t="s"/>
      <c r="Q16" s="41" t="s"/>
      <c r="R16" s="41" t="s"/>
      <c r="S16" s="41" t="s"/>
    </row>
    <row r="17" spans="1:19">
      <c r="A17" s="36" t="s">
        <v>69</v>
      </c>
      <c r="B17" s="42" t="s">
        <v>70</v>
      </c>
      <c r="C17" s="43">
        <f>=总投资!G54</f>
        <v>4085.49248856</v>
      </c>
      <c r="D17" s="43" t="s"/>
      <c r="E17" s="43" t="s"/>
      <c r="F17" s="43" t="s"/>
      <c r="G17" s="43" t="s"/>
      <c r="H17" s="43" t="s"/>
      <c r="I17" s="43" t="s"/>
      <c r="J17" s="43" t="s"/>
      <c r="K17" s="43" t="s"/>
      <c r="L17" s="43" t="s"/>
      <c r="M17" s="44" t="s"/>
      <c r="N17" s="41" t="s"/>
      <c r="O17" s="41" t="s"/>
      <c r="P17" s="41" t="s"/>
      <c r="Q17" s="41" t="s"/>
      <c r="R17" s="41" t="s"/>
      <c r="S17" s="41" t="s"/>
    </row>
    <row r="18" spans="1:19">
      <c r="A18" s="36" t="s">
        <v>71</v>
      </c>
      <c r="B18" s="42" t="s">
        <v>72</v>
      </c>
      <c r="C18" s="43" t="s"/>
      <c r="D18" s="43" t="s"/>
      <c r="E18" s="43" t="s"/>
      <c r="F18" s="43" t="s"/>
      <c r="G18" s="43" t="s"/>
      <c r="H18" s="43" t="s"/>
      <c r="I18" s="43" t="s"/>
      <c r="J18" s="43" t="s"/>
      <c r="K18" s="43" t="s"/>
      <c r="L18" s="43" t="s"/>
      <c r="M18" s="44" t="s"/>
      <c r="N18" s="41" t="s"/>
      <c r="O18" s="41" t="s"/>
      <c r="P18" s="41" t="s"/>
      <c r="Q18" s="41" t="s"/>
      <c r="R18" s="41" t="s"/>
      <c r="S18" s="41" t="s"/>
    </row>
    <row r="19" spans="1:19">
      <c r="A19" s="36" t="s">
        <v>73</v>
      </c>
      <c r="B19" s="42" t="s">
        <v>74</v>
      </c>
      <c r="C19" s="43" t="s"/>
      <c r="D19" s="43" t="s"/>
      <c r="E19" s="43" t="s"/>
      <c r="F19" s="43" t="s"/>
      <c r="G19" s="43" t="s"/>
      <c r="H19" s="43" t="s"/>
      <c r="I19" s="43" t="s"/>
      <c r="J19" s="43" t="s"/>
      <c r="K19" s="43" t="s"/>
      <c r="L19" s="43" t="s"/>
      <c r="M19" s="44" t="s"/>
      <c r="N19" s="41" t="s"/>
      <c r="O19" s="41" t="s"/>
      <c r="P19" s="41" t="s"/>
      <c r="Q19" s="41" t="s"/>
      <c r="R19" s="41" t="s"/>
      <c r="S19" s="41" t="s"/>
    </row>
    <row r="20" spans="1:19">
      <c r="A20" s="36" t="s">
        <v>75</v>
      </c>
      <c r="B20" s="42" t="s">
        <v>67</v>
      </c>
      <c r="C20" s="43" t="s"/>
      <c r="D20" s="43" t="s"/>
      <c r="E20" s="43" t="s"/>
      <c r="F20" s="43" t="s"/>
      <c r="G20" s="43" t="s"/>
      <c r="H20" s="43" t="s"/>
      <c r="I20" s="43" t="s"/>
      <c r="J20" s="43" t="s"/>
      <c r="K20" s="43" t="s"/>
      <c r="L20" s="43" t="s"/>
      <c r="M20" s="44" t="s"/>
      <c r="N20" s="41" t="s"/>
      <c r="O20" s="41" t="s"/>
      <c r="P20" s="41" t="s"/>
      <c r="Q20" s="41" t="s"/>
      <c r="R20" s="41" t="s"/>
      <c r="S20" s="41" t="s"/>
    </row>
    <row r="21" spans="1:19">
      <c r="A21" s="36">
        <v>3</v>
      </c>
      <c r="B21" s="42" t="s">
        <v>76</v>
      </c>
      <c r="C21" s="43">
        <f>=C22-C26</f>
        <v>12508.04</v>
      </c>
      <c r="D21" s="43">
        <f>=D22-D26</f>
        <v>-299.38</v>
      </c>
      <c r="E21" s="43">
        <f>=E22-E26</f>
        <v>-370.696</v>
      </c>
      <c r="F21" s="43">
        <f>=F22-F26</f>
        <v>-369.608</v>
      </c>
      <c r="G21" s="43">
        <f>=G22-G26</f>
        <v>-378.268</v>
      </c>
      <c r="H21" s="43">
        <f>=H22-H26</f>
        <v>-386.172</v>
      </c>
      <c r="I21" s="43">
        <f>=I22-I26</f>
        <v>-373.068</v>
      </c>
      <c r="J21" s="43">
        <f>=J22-J26</f>
        <v>-389.46</v>
      </c>
      <c r="K21" s="43">
        <f>=K22-K26</f>
        <v>-375.096</v>
      </c>
      <c r="L21" s="43">
        <f>=L22-L26</f>
        <v>-389.976</v>
      </c>
      <c r="M21" s="44" t="s"/>
      <c r="N21" s="45" t="s"/>
      <c r="O21" s="45" t="s"/>
      <c r="P21" s="45" t="s"/>
      <c r="Q21" s="45" t="s"/>
      <c r="R21" s="45" t="s"/>
      <c r="S21" s="45" t="s"/>
    </row>
    <row r="22" spans="1:19">
      <c r="A22" s="36">
        <v>3.1</v>
      </c>
      <c r="B22" s="42" t="s">
        <v>55</v>
      </c>
      <c r="C22" s="43">
        <f>=SUM(C23:C25)</f>
        <v>12648.36</v>
      </c>
      <c r="D22" s="43" t="s"/>
      <c r="E22" s="43" t="s"/>
      <c r="F22" s="43" t="s"/>
      <c r="G22" s="43" t="s"/>
      <c r="H22" s="43" t="s"/>
      <c r="I22" s="43" t="s"/>
      <c r="J22" s="43" t="s"/>
      <c r="K22" s="43" t="s"/>
      <c r="L22" s="43" t="s"/>
      <c r="M22" s="44" t="s"/>
      <c r="N22" s="41" t="s"/>
      <c r="O22" s="41" t="s"/>
      <c r="P22" s="41" t="s"/>
      <c r="Q22" s="41" t="s"/>
      <c r="R22" s="41" t="s"/>
      <c r="S22" s="41" t="s"/>
    </row>
    <row r="23" spans="1:19">
      <c r="A23" s="36" t="s">
        <v>77</v>
      </c>
      <c r="B23" s="42" t="s">
        <v>78</v>
      </c>
      <c r="C23" s="43">
        <v>2648.36</v>
      </c>
      <c r="D23" s="43" t="s"/>
      <c r="E23" s="43" t="s"/>
      <c r="F23" s="43" t="s"/>
      <c r="G23" s="43" t="s"/>
      <c r="H23" s="43" t="s"/>
      <c r="I23" s="43" t="s"/>
      <c r="J23" s="43" t="s"/>
      <c r="K23" s="43" t="s"/>
      <c r="L23" s="43" t="s"/>
      <c r="M23" s="44" t="s"/>
      <c r="N23" s="41" t="s"/>
      <c r="O23" s="41" t="s"/>
      <c r="P23" s="41" t="s"/>
      <c r="Q23" s="41" t="s"/>
      <c r="R23" s="41" t="s"/>
      <c r="S23" s="41" t="s"/>
    </row>
    <row r="24" spans="1:19">
      <c r="A24" s="36" t="s">
        <v>79</v>
      </c>
      <c r="B24" s="42" t="s">
        <v>80</v>
      </c>
      <c r="C24" s="43">
        <v>10000</v>
      </c>
      <c r="D24" s="43" t="s"/>
      <c r="E24" s="43" t="s"/>
      <c r="F24" s="43" t="s"/>
      <c r="G24" s="43" t="s"/>
      <c r="H24" s="43" t="s"/>
      <c r="I24" s="43" t="s"/>
      <c r="J24" s="43" t="s"/>
      <c r="K24" s="43" t="s"/>
      <c r="L24" s="43" t="s"/>
      <c r="M24" s="44" t="s"/>
      <c r="N24" s="41" t="s"/>
      <c r="O24" s="41" t="s"/>
      <c r="P24" s="41" t="s"/>
      <c r="Q24" s="41" t="s"/>
      <c r="R24" s="41" t="s"/>
      <c r="S24" s="41" t="s"/>
    </row>
    <row r="25" spans="1:19">
      <c r="A25" s="36" t="s">
        <v>81</v>
      </c>
      <c r="B25" s="42" t="s">
        <v>59</v>
      </c>
      <c r="C25" s="43" t="s"/>
      <c r="D25" s="43" t="s"/>
      <c r="E25" s="43" t="s"/>
      <c r="F25" s="43" t="s"/>
      <c r="G25" s="43" t="s"/>
      <c r="H25" s="43" t="s"/>
      <c r="I25" s="43" t="s"/>
      <c r="J25" s="43" t="s"/>
      <c r="K25" s="43" t="s"/>
      <c r="L25" s="43" t="s"/>
      <c r="M25" s="44" t="s"/>
      <c r="N25" s="41" t="s"/>
      <c r="O25" s="41" t="s"/>
      <c r="P25" s="41" t="s"/>
      <c r="Q25" s="41" t="s"/>
      <c r="R25" s="41" t="s"/>
      <c r="S25" s="41" t="s"/>
    </row>
    <row r="26" spans="1:19">
      <c r="A26" s="36">
        <v>3.2</v>
      </c>
      <c r="B26" s="42" t="s">
        <v>60</v>
      </c>
      <c r="C26" s="43">
        <f>=SUM(C27:C30)</f>
        <v>140.32</v>
      </c>
      <c r="D26" s="43">
        <f>=SUM(D27:D30)</f>
        <v>299.38</v>
      </c>
      <c r="E26" s="43">
        <f>=SUM(E27:E30)</f>
        <v>370.696</v>
      </c>
      <c r="F26" s="43">
        <f>=SUM(F27:F30)</f>
        <v>369.608</v>
      </c>
      <c r="G26" s="43">
        <f>=SUM(G27:G30)</f>
        <v>378.268</v>
      </c>
      <c r="H26" s="43">
        <f>=SUM(H27:H30)</f>
        <v>386.172</v>
      </c>
      <c r="I26" s="43">
        <f>=SUM(I27:I30)</f>
        <v>373.068</v>
      </c>
      <c r="J26" s="43">
        <f>=SUM(J27:J30)</f>
        <v>389.46</v>
      </c>
      <c r="K26" s="43">
        <f>=SUM(K27:K30)</f>
        <v>375.096</v>
      </c>
      <c r="L26" s="43">
        <f>=SUM(L27:L30)</f>
        <v>389.976</v>
      </c>
      <c r="M26" s="44" t="s"/>
      <c r="N26" s="41" t="s"/>
      <c r="O26" s="41" t="s"/>
      <c r="P26" s="41" t="s"/>
      <c r="Q26" s="41" t="s"/>
      <c r="R26" s="41" t="s"/>
      <c r="S26" s="41" t="s"/>
    </row>
    <row r="27" spans="1:19">
      <c r="A27" s="36" t="s">
        <v>82</v>
      </c>
      <c r="B27" s="42" t="s">
        <v>24</v>
      </c>
      <c r="C27" s="43">
        <f>=还本付息表!D9</f>
        <v>40.32</v>
      </c>
      <c r="D27" s="43">
        <f>=还本付息表!E9</f>
        <v>79.38</v>
      </c>
      <c r="E27" s="43">
        <f>=还本付息表!F9</f>
        <v>150.696</v>
      </c>
      <c r="F27" s="43">
        <f>=还本付息表!G9</f>
        <v>139.608</v>
      </c>
      <c r="G27" s="43">
        <f>=还本付息表!H9</f>
        <v>128.268</v>
      </c>
      <c r="H27" s="43">
        <f>=还本付息表!I9</f>
        <v>116.172</v>
      </c>
      <c r="I27" s="43">
        <f>=还本付息表!J9</f>
        <v>103.068</v>
      </c>
      <c r="J27" s="43">
        <f>=还本付息表!K9</f>
        <v>89.46</v>
      </c>
      <c r="K27" s="43">
        <f>=还本付息表!L9</f>
        <v>75.096</v>
      </c>
      <c r="L27" s="43">
        <f>=还本付息表!M9</f>
        <v>59.976</v>
      </c>
      <c r="M27" s="44" t="s"/>
      <c r="N27" s="41" t="s"/>
      <c r="O27" s="41" t="s"/>
      <c r="P27" s="41" t="s"/>
      <c r="Q27" s="41" t="s"/>
      <c r="R27" s="41" t="s"/>
      <c r="S27" s="41" t="s"/>
    </row>
    <row r="28" spans="1:19">
      <c r="A28" s="36" t="s">
        <v>83</v>
      </c>
      <c r="B28" s="42" t="s">
        <v>84</v>
      </c>
      <c r="C28" s="43">
        <f>=还本付息表!E8</f>
        <v>100</v>
      </c>
      <c r="D28" s="43">
        <f>=还本付息表!F8</f>
        <v>220</v>
      </c>
      <c r="E28" s="43">
        <f>=还本付息表!G8</f>
        <v>220</v>
      </c>
      <c r="F28" s="43">
        <f>=还本付息表!H8</f>
        <v>230</v>
      </c>
      <c r="G28" s="43">
        <f>=还本付息表!I8</f>
        <v>250</v>
      </c>
      <c r="H28" s="43">
        <f>=还本付息表!J8</f>
        <v>270</v>
      </c>
      <c r="I28" s="43">
        <f>=还本付息表!K8</f>
        <v>270</v>
      </c>
      <c r="J28" s="43">
        <f>=还本付息表!L8</f>
        <v>300</v>
      </c>
      <c r="K28" s="43">
        <f>=还本付息表!M8</f>
        <v>300</v>
      </c>
      <c r="L28" s="43">
        <f>=还本付息表!N8</f>
        <v>330</v>
      </c>
      <c r="M28" s="44" t="s"/>
      <c r="N28" s="41" t="s"/>
      <c r="O28" s="41" t="s"/>
      <c r="P28" s="41" t="s"/>
      <c r="Q28" s="41" t="s"/>
      <c r="R28" s="41" t="s"/>
      <c r="S28" s="41" t="s"/>
    </row>
    <row r="29" spans="1:19">
      <c r="A29" s="36" t="s">
        <v>85</v>
      </c>
      <c r="B29" s="42" t="s">
        <v>86</v>
      </c>
      <c r="C29" s="43" t="s"/>
      <c r="D29" s="43" t="s"/>
      <c r="E29" s="43" t="s"/>
      <c r="F29" s="43" t="s"/>
      <c r="G29" s="43" t="s"/>
      <c r="H29" s="43" t="s"/>
      <c r="I29" s="43" t="s"/>
      <c r="J29" s="43" t="s"/>
      <c r="K29" s="43" t="s"/>
      <c r="L29" s="43" t="s"/>
      <c r="M29" s="44" t="s"/>
      <c r="N29" s="41" t="s"/>
      <c r="O29" s="41" t="s"/>
      <c r="P29" s="41" t="s"/>
      <c r="Q29" s="41" t="s"/>
      <c r="R29" s="41" t="s"/>
      <c r="S29" s="41" t="s"/>
    </row>
    <row r="30" spans="1:19">
      <c r="A30" s="36" t="s">
        <v>87</v>
      </c>
      <c r="B30" s="42" t="s">
        <v>67</v>
      </c>
      <c r="C30" s="43" t="s"/>
      <c r="D30" s="43" t="s"/>
      <c r="E30" s="43" t="s"/>
      <c r="F30" s="43" t="s"/>
      <c r="G30" s="43" t="s"/>
      <c r="H30" s="43" t="s"/>
      <c r="I30" s="43" t="s"/>
      <c r="J30" s="43" t="s"/>
      <c r="K30" s="43" t="s"/>
      <c r="L30" s="43" t="s"/>
      <c r="M30" s="44" t="s"/>
      <c r="N30" s="41" t="s"/>
      <c r="O30" s="41" t="s"/>
      <c r="P30" s="41" t="s"/>
      <c r="Q30" s="41" t="s"/>
      <c r="R30" s="41" t="s"/>
      <c r="S30" s="41" t="s"/>
    </row>
    <row r="31" spans="1:19">
      <c r="A31" s="36" t="s">
        <v>88</v>
      </c>
      <c r="B31" s="42" t="s">
        <v>89</v>
      </c>
      <c r="C31" s="43">
        <f>=C21+C14+C4</f>
        <v>8986.06737846785</v>
      </c>
      <c r="D31" s="43">
        <f>=D21+D14+D4</f>
        <v>94.9526736503496</v>
      </c>
      <c r="E31" s="43">
        <f>=E21+E14+E4</f>
        <v>21.6862020121203</v>
      </c>
      <c r="F31" s="43">
        <f>=F21+F14+F4</f>
        <v>20.7635072460822</v>
      </c>
      <c r="G31" s="43">
        <f>=G21+G14+G4</f>
        <v>9.90657546787418</v>
      </c>
      <c r="H31" s="43">
        <f>=H21+H14+H4</f>
        <v>-2.09993353744261</v>
      </c>
      <c r="I31" s="43">
        <f>=I21+I14+I4</f>
        <v>7.05771648426713</v>
      </c>
      <c r="J31" s="43">
        <f>=J21+J14+J4</f>
        <v>-13.4669117441317</v>
      </c>
      <c r="K31" s="43">
        <f>=K21+K14+K4</f>
        <v>-3.42183183138855</v>
      </c>
      <c r="L31" s="43">
        <f>=L21+L14+L4</f>
        <v>-22.8070573182091</v>
      </c>
      <c r="M31" s="44" t="s"/>
      <c r="N31" s="45" t="s"/>
      <c r="O31" s="45" t="s"/>
      <c r="P31" s="45" t="s"/>
      <c r="Q31" s="45" t="s"/>
      <c r="R31" s="45" t="s"/>
      <c r="S31" s="45" t="s"/>
    </row>
    <row r="32" spans="1:19">
      <c r="A32" s="36" t="s">
        <v>90</v>
      </c>
      <c r="B32" s="42" t="s">
        <v>91</v>
      </c>
      <c r="C32" s="43">
        <f>=C31</f>
        <v>8986.06737846785</v>
      </c>
      <c r="D32" s="43">
        <f>=D31+C32</f>
        <v>9081.0200521182</v>
      </c>
      <c r="E32" s="43">
        <f>=E31+D32</f>
        <v>9102.70625413032</v>
      </c>
      <c r="F32" s="43">
        <f>=F31+E32</f>
        <v>9123.46976137641</v>
      </c>
      <c r="G32" s="43">
        <f>=G31+F32</f>
        <v>9133.37633684428</v>
      </c>
      <c r="H32" s="43">
        <f>=H31+G32</f>
        <v>9131.27640330684</v>
      </c>
      <c r="I32" s="43">
        <f>=I31+H32</f>
        <v>9138.33411979111</v>
      </c>
      <c r="J32" s="43">
        <f>=J31+I32</f>
        <v>9124.86720804697</v>
      </c>
      <c r="K32" s="43">
        <f>=K31+J32</f>
        <v>9121.44537621559</v>
      </c>
      <c r="L32" s="43">
        <f>=L31+K32</f>
        <v>9098.63831889738</v>
      </c>
      <c r="M32" s="44" t="s"/>
      <c r="N32" s="45" t="s"/>
      <c r="O32" s="45" t="s"/>
      <c r="P32" s="45" t="s"/>
      <c r="Q32" s="45" t="s"/>
      <c r="R32" s="45" t="s"/>
      <c r="S32" s="45" t="s"/>
    </row>
    <row r="33" spans="13:13">
      <c r="M33" s="7" t="s"/>
    </row>
  </sheetData>
  <mergeCells count="4">
    <mergeCell ref="A1:M1"/>
    <mergeCell ref="C2:L2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2025-01-24T14:23:26Z</dcterms:created>
  <dcterms:modified xsi:type="dcterms:W3CDTF">2025-01-24T14:23:26Z</dcterms:modified>
</cp:coreProperties>
</file>